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420" tabRatio="912" activeTab="23"/>
  </bookViews>
  <sheets>
    <sheet name="1Zmiany D i W" sheetId="1" r:id="rId1"/>
    <sheet name="2Zmiany P i R" sheetId="2" r:id="rId2"/>
    <sheet name="3Wysokość i przezn. nadwyżki" sheetId="3" r:id="rId3"/>
    <sheet name="4D i W wg działów" sheetId="4" r:id="rId4"/>
    <sheet name="5PiR" sheetId="5" r:id="rId5"/>
    <sheet name="6DOCHODY" sheetId="6" r:id="rId6"/>
    <sheet name="7Dmajatkowe" sheetId="7" r:id="rId7"/>
    <sheet name="8D wg źródeł" sheetId="8" r:id="rId8"/>
    <sheet name="9W" sheetId="9" r:id="rId9"/>
    <sheet name="10W dotacje z budżetu miasta" sheetId="10" r:id="rId10"/>
    <sheet name="11D i W dot. z budż. państwa" sheetId="11" r:id="rId11"/>
    <sheet name="12DiW zlecone" sheetId="12" r:id="rId12"/>
    <sheet name="13DiW porozumienia" sheetId="13" r:id="rId13"/>
    <sheet name="14DiW porozumienia z jst" sheetId="14" r:id="rId14"/>
    <sheet name=" 15ProgramyUE" sheetId="15" r:id="rId15"/>
    <sheet name="16Inwestycje" sheetId="16" r:id="rId16"/>
    <sheet name="17D i W własne jednostek" sheetId="17" r:id="rId17"/>
    <sheet name="18niewygasy2011" sheetId="18" r:id="rId18"/>
    <sheet name="19ZGM" sheetId="19" r:id="rId19"/>
    <sheet name="20Wyspiarz" sheetId="20" r:id="rId20"/>
    <sheet name="21MDK" sheetId="21" r:id="rId21"/>
    <sheet name="22Bibloteka" sheetId="22" r:id="rId22"/>
    <sheet name="23Muzeum" sheetId="23" r:id="rId23"/>
    <sheet name="24SP ZOZ SZPITAL" sheetId="24" r:id="rId24"/>
    <sheet name="25SP ZOZ ZP-O" sheetId="25" r:id="rId25"/>
    <sheet name="26WPF" sheetId="26" r:id="rId26"/>
  </sheets>
  <definedNames>
    <definedName name="_xlnm.Print_Area" localSheetId="14">' 15ProgramyUE'!$A$1:$H$70</definedName>
    <definedName name="_xlnm.Print_Area" localSheetId="9">'10W dotacje z budżetu miasta'!$A$1:$I$115</definedName>
    <definedName name="_xlnm.Print_Area" localSheetId="10">'11D i W dot. z budż. państwa'!$A$1:$O$65</definedName>
    <definedName name="_xlnm.Print_Area" localSheetId="11">'12DiW zlecone'!$A$1:$K$71</definedName>
    <definedName name="_xlnm.Print_Area" localSheetId="12">'13DiW porozumienia'!$A$1:$K$31</definedName>
    <definedName name="_xlnm.Print_Area" localSheetId="13">'14DiW porozumienia z jst'!$A$1:$K$14</definedName>
    <definedName name="_xlnm.Print_Area" localSheetId="15">'16Inwestycje'!$A$1:$F$66</definedName>
    <definedName name="_xlnm.Print_Area" localSheetId="16">'17D i W własne jednostek'!$A$1:$I$35</definedName>
    <definedName name="_xlnm.Print_Area" localSheetId="17">'18niewygasy2011'!$A$1:$H$24</definedName>
    <definedName name="_xlnm.Print_Area" localSheetId="18">'19ZGM'!$A$1:$F$58</definedName>
    <definedName name="_xlnm.Print_Area" localSheetId="0">'1Zmiany D i W'!$A$1:$F$60</definedName>
    <definedName name="_xlnm.Print_Area" localSheetId="19">'20Wyspiarz'!$A$1:$F$59</definedName>
    <definedName name="_xlnm.Print_Area" localSheetId="20">'21MDK'!$A$1:$E$33</definedName>
    <definedName name="_xlnm.Print_Area" localSheetId="21">'22Bibloteka'!$A$1:$E$38</definedName>
    <definedName name="_xlnm.Print_Area" localSheetId="22">'23Muzeum'!$A$1:$E$36</definedName>
    <definedName name="_xlnm.Print_Area" localSheetId="23">'24SP ZOZ SZPITAL'!$A$1:$E$100</definedName>
    <definedName name="_xlnm.Print_Area" localSheetId="24">'25SP ZOZ ZP-O'!$A$1:$E$58</definedName>
    <definedName name="_xlnm.Print_Area" localSheetId="1">'2Zmiany P i R'!$A$1:$F$14</definedName>
    <definedName name="_xlnm.Print_Area" localSheetId="2">'3Wysokość i przezn. nadwyżki'!$A$1:$F$49</definedName>
    <definedName name="_xlnm.Print_Area" localSheetId="3">'4D i W wg działów'!$A$1:$H$34</definedName>
    <definedName name="_xlnm.Print_Area" localSheetId="4">'5PiR'!$A$1:$F$20</definedName>
    <definedName name="_xlnm.Print_Area" localSheetId="5">'6DOCHODY'!$A$1:$G$614</definedName>
    <definedName name="_xlnm.Print_Area" localSheetId="6">'7Dmajatkowe'!$A$1:$G$139</definedName>
    <definedName name="_xlnm.Print_Area" localSheetId="7">'8D wg źródeł'!$A$1:$E$84</definedName>
    <definedName name="_xlnm.Print_Area" localSheetId="8">'9W'!$A$1:$F$935</definedName>
    <definedName name="_xlnm.Print_Titles" localSheetId="14">' 15ProgramyUE'!$4:$5</definedName>
    <definedName name="_xlnm.Print_Titles" localSheetId="9">'10W dotacje z budżetu miasta'!$6:$7</definedName>
    <definedName name="_xlnm.Print_Titles" localSheetId="10">'11D i W dot. z budż. państwa'!$4:$6</definedName>
    <definedName name="_xlnm.Print_Titles" localSheetId="11">'12DiW zlecone'!$5:$9</definedName>
    <definedName name="_xlnm.Print_Titles" localSheetId="12">'13DiW porozumienia'!$5:$9</definedName>
    <definedName name="_xlnm.Print_Titles" localSheetId="13">'14DiW porozumienia z jst'!$5:$9</definedName>
    <definedName name="_xlnm.Print_Titles" localSheetId="15">'16Inwestycje'!$5:$5</definedName>
    <definedName name="_xlnm.Print_Titles" localSheetId="16">'17D i W własne jednostek'!$5:$7</definedName>
    <definedName name="_xlnm.Print_Titles" localSheetId="18">'19ZGM'!$6:$7</definedName>
    <definedName name="_xlnm.Print_Titles" localSheetId="0">'1Zmiany D i W'!$5:$7</definedName>
    <definedName name="_xlnm.Print_Titles" localSheetId="19">'20Wyspiarz'!$6:$7</definedName>
    <definedName name="_xlnm.Print_Titles" localSheetId="23">'24SP ZOZ SZPITAL'!$5:$6</definedName>
    <definedName name="_xlnm.Print_Titles" localSheetId="24">'25SP ZOZ ZP-O'!$6:$7</definedName>
    <definedName name="_xlnm.Print_Titles" localSheetId="2">'3Wysokość i przezn. nadwyżki'!$6:$8</definedName>
    <definedName name="_xlnm.Print_Titles" localSheetId="3">'4D i W wg działów'!$5:$7</definedName>
    <definedName name="_xlnm.Print_Titles" localSheetId="5">'6DOCHODY'!$5:$6</definedName>
    <definedName name="_xlnm.Print_Titles" localSheetId="6">'7Dmajatkowe'!$5:$6</definedName>
    <definedName name="_xlnm.Print_Titles" localSheetId="7">'8D wg źródeł'!$5:$6</definedName>
    <definedName name="_xlnm.Print_Titles" localSheetId="8">'9W'!$5:$6</definedName>
  </definedNames>
  <calcPr fullCalcOnLoad="1"/>
</workbook>
</file>

<file path=xl/sharedStrings.xml><?xml version="1.0" encoding="utf-8"?>
<sst xmlns="http://schemas.openxmlformats.org/spreadsheetml/2006/main" count="5421" uniqueCount="1814">
  <si>
    <t>Starostwa powiatowe</t>
  </si>
  <si>
    <t>75023</t>
  </si>
  <si>
    <t>75045</t>
  </si>
  <si>
    <t>75095</t>
  </si>
  <si>
    <t>URZĘDY NACZELNYCH ORGANÓW WŁADZY PAŃSTWOWEJ, KONTROLI I OCHRONY PRAWA ORAZ SĄDOWNICTWA</t>
  </si>
  <si>
    <t>754</t>
  </si>
  <si>
    <t>75411</t>
  </si>
  <si>
    <t>75414</t>
  </si>
  <si>
    <t>Obrona cywilna</t>
  </si>
  <si>
    <t>757</t>
  </si>
  <si>
    <t>758</t>
  </si>
  <si>
    <t>RÓŻNE ROZLICZENIA</t>
  </si>
  <si>
    <t>801</t>
  </si>
  <si>
    <t>OŚWIATA I WYCHOWANIE</t>
  </si>
  <si>
    <t>80101</t>
  </si>
  <si>
    <t>Szkoły podstawowe</t>
  </si>
  <si>
    <t>80110</t>
  </si>
  <si>
    <t>Gimnazja</t>
  </si>
  <si>
    <t>80120</t>
  </si>
  <si>
    <t>80130</t>
  </si>
  <si>
    <t>Szkoły zawodowe</t>
  </si>
  <si>
    <t>851</t>
  </si>
  <si>
    <t>OCHRONA ZDROWIA</t>
  </si>
  <si>
    <t>85154</t>
  </si>
  <si>
    <t>Przeciwdziałanie alkoholizmowi</t>
  </si>
  <si>
    <t>853</t>
  </si>
  <si>
    <t>85305</t>
  </si>
  <si>
    <t>Drogi publiczne w miastach na prawach powiatu (w rozdziale nie ujmuje się wydatków na drogi gminne)</t>
  </si>
  <si>
    <t>Poradnie psychologiczno-pedagogiczne, w tym poradnie specjalistyczne</t>
  </si>
  <si>
    <t>33.</t>
  </si>
  <si>
    <t>Dodatki mieszkaniowe</t>
  </si>
  <si>
    <t>Ośrodki pomocy społecznej</t>
  </si>
  <si>
    <t>Opłaty na rzecz budżetu państwa</t>
  </si>
  <si>
    <t>85321</t>
  </si>
  <si>
    <t>Usługi opiekuńcze i specjalistyczne usługi opiekuńcze</t>
  </si>
  <si>
    <t>854</t>
  </si>
  <si>
    <t>III. Dotacje celowe</t>
  </si>
  <si>
    <t xml:space="preserve">    - środki Funduszu Pracy</t>
  </si>
  <si>
    <t>EDUKACYJNA OPIEKA WYCHOWAWCZA</t>
  </si>
  <si>
    <t>85403</t>
  </si>
  <si>
    <t>85406</t>
  </si>
  <si>
    <t>OGÓŁEM DOCHODY (GMINA + POWIAT)</t>
  </si>
  <si>
    <t>sprawozdanie Rb 27</t>
  </si>
  <si>
    <t>różnica (Rb 27 - zestawienie)</t>
  </si>
  <si>
    <t>Dochody majątkowe</t>
  </si>
  <si>
    <t>Dochody bieżące</t>
  </si>
  <si>
    <t>środki z innych źródeł</t>
  </si>
  <si>
    <t>1.1</t>
  </si>
  <si>
    <t>1.2</t>
  </si>
  <si>
    <t>1.3</t>
  </si>
  <si>
    <t>2.1</t>
  </si>
  <si>
    <t>2.2</t>
  </si>
  <si>
    <t>- spłata kredytów i pożyczek</t>
  </si>
  <si>
    <t>2.3</t>
  </si>
  <si>
    <t>1.4</t>
  </si>
  <si>
    <t>obsługa długu publicznego</t>
  </si>
  <si>
    <t>wg Rb28S</t>
  </si>
  <si>
    <t>Wg rb27S</t>
  </si>
  <si>
    <t>tabela</t>
  </si>
  <si>
    <t>Tabela nr 3</t>
  </si>
  <si>
    <t>OGÓŁEM INWESTYCJE KOMUNALNE (WIM)</t>
  </si>
  <si>
    <t>Punkt Przedszkolny "Tygrysek"</t>
  </si>
  <si>
    <t>Amortyzacja</t>
  </si>
  <si>
    <t>Wynagrodzenia</t>
  </si>
  <si>
    <t>Podróże służbowe i koszty zakwaterowania</t>
  </si>
  <si>
    <t xml:space="preserve">wynagrodzenia i pochodne </t>
  </si>
  <si>
    <t>OGÓŁEM:</t>
  </si>
  <si>
    <t>związane z realizacją zadań statutowych</t>
  </si>
  <si>
    <t>świadczenia na rzecz osób fizycznych</t>
  </si>
  <si>
    <t>1.5</t>
  </si>
  <si>
    <t>Wydatki związane z realizacją zadań statutowych</t>
  </si>
  <si>
    <t>Dotacje na zadania bieżące</t>
  </si>
  <si>
    <t>Świadczenia na rzecz osób fizycznych</t>
  </si>
  <si>
    <t>Wydatki na programy z udziałem środków unijnych</t>
  </si>
  <si>
    <t>Wydatki jednostek budżetowych</t>
  </si>
  <si>
    <t>Wydatki
ogółem
(5+11)</t>
  </si>
  <si>
    <t>MIEJSKI DOM KULTURY</t>
  </si>
  <si>
    <t>RÓŻNICA</t>
  </si>
  <si>
    <t xml:space="preserve">    - pozostałe opłaty wraz z rekompensatą utraconych dochodów</t>
  </si>
  <si>
    <t xml:space="preserve">OTRZYMANE DOTACJE Z BUDŻETU PAŃSTWA ORAZ ICH WYDATKOWANIE </t>
  </si>
  <si>
    <t>Pożyczki</t>
  </si>
  <si>
    <t>Sprawdzenie Rb 27S i Rb28S</t>
  </si>
  <si>
    <t>Przebudowa centralnego układu komunikacyjnego śródmieścia w Świnoujściu</t>
  </si>
  <si>
    <t>Sprawdzenie Rb 27S</t>
  </si>
  <si>
    <t>Społeczna Szkoła Podstawowa Społecznego Towarzystwa Szkoły Gimnazjalnej</t>
  </si>
  <si>
    <t>85407</t>
  </si>
  <si>
    <t>BEZPIECZEŃSTWO PUBLICZNE I OCHRONA PRZECIWPOŻAROWA</t>
  </si>
  <si>
    <t>85410</t>
  </si>
  <si>
    <t>85415</t>
  </si>
  <si>
    <t>Pomoc materialna dla uczniów</t>
  </si>
  <si>
    <t>85417</t>
  </si>
  <si>
    <t>900</t>
  </si>
  <si>
    <t>90003</t>
  </si>
  <si>
    <t>90015</t>
  </si>
  <si>
    <t>Oświetlenie ulic, placów i dróg</t>
  </si>
  <si>
    <t>90095</t>
  </si>
  <si>
    <t>Specjalne ośrodki szkolno-wychowawcze</t>
  </si>
  <si>
    <t>ŁĄCZNIE GMINA I POWIAT</t>
  </si>
  <si>
    <t>Zaległości z tytułu podatków i opłat zniesionych</t>
  </si>
  <si>
    <t>Wpływy z opłat za zezwolenia na sprzedaż napojów alkoholowych</t>
  </si>
  <si>
    <t xml:space="preserve">   - pozostałe wydatki</t>
  </si>
  <si>
    <t>Nadwyżka/ Deficyt (I -II)</t>
  </si>
  <si>
    <t>- wykup obligacji komunalnych</t>
  </si>
  <si>
    <t>Dotacje celowe otrzymane z gminy na zadania bieżące realizowane na podstawie porozumień (umów) między jednostkami samorządu terytorialnego</t>
  </si>
  <si>
    <t xml:space="preserve">Środki na dofinansowanie własnych zadań 
bieżących gmin (związków gmin), powiatów (związków powiatów), samorządów województw, pozyskane z innych źródeł
</t>
  </si>
  <si>
    <t>6430</t>
  </si>
  <si>
    <t xml:space="preserve">KULTURA FIZYCZNA </t>
  </si>
  <si>
    <t>Kultura fizyczna</t>
  </si>
  <si>
    <t>Dotacja celowa otrzymana z tytułu pomocy finansowej udzielanej między jednostkami samorządu terytorialnego na dofinansowanie własnych zadań bieżących</t>
  </si>
  <si>
    <t>KULTURA FIZYCZNA</t>
  </si>
  <si>
    <t>Zadania w zakresie kultury fizycznej</t>
  </si>
  <si>
    <t>Płatności w zakresie budżetu środków europejskich</t>
  </si>
  <si>
    <t>Straż gminna (miejska)</t>
  </si>
  <si>
    <t>Dotacje celowe otrzymane z budżetu państwa na realizację inwestycji i zakupów inwestycyjnych własnych powiatu</t>
  </si>
  <si>
    <t>Klasyfikacja
§</t>
  </si>
  <si>
    <t>§ 992</t>
  </si>
  <si>
    <t>§ 982</t>
  </si>
  <si>
    <t xml:space="preserve">    - wpływy za realizację dochodów skarbu państwa</t>
  </si>
  <si>
    <t>921</t>
  </si>
  <si>
    <t>926</t>
  </si>
  <si>
    <t>udział</t>
  </si>
  <si>
    <t xml:space="preserve">Udział </t>
  </si>
  <si>
    <t>92601</t>
  </si>
  <si>
    <t>Obiekty sportowe</t>
  </si>
  <si>
    <t>92605</t>
  </si>
  <si>
    <t>Dział</t>
  </si>
  <si>
    <t>Wyszczególnienie</t>
  </si>
  <si>
    <t>Miejski Dom Kultury</t>
  </si>
  <si>
    <t>zad własne</t>
  </si>
  <si>
    <t>Zadania w zakresie oświaty i wychowania</t>
  </si>
  <si>
    <t>§</t>
  </si>
  <si>
    <t>LEŚNICTWO</t>
  </si>
  <si>
    <t>Budowa budynków mieszkalnych z lokalami socjalnymi w Świnoujściu</t>
  </si>
  <si>
    <t>Wykonanie przebudowy wewnętrznych instalacji elektrycznych w obiektach szkół podstawowych na terenie miasta</t>
  </si>
  <si>
    <t>Wykonanie przebudowy wewnętrznych instalacji elektrycznych w obiektach przedszkolnych na terenie miasta</t>
  </si>
  <si>
    <t>Utworzenie ogrzewalni dla osób bezdomnych na terenie schroniska dla osób bezdomnych przy ul. Portowej 10       w Świnoujściu</t>
  </si>
  <si>
    <t>Międzynarodowy Bałtycki Szlak Rowerowy R-10 Stralsund - Świnoujście - ul. Uzdrowiskowa, wzdłuż Świny                i ul. Barlickiego</t>
  </si>
  <si>
    <t>Budowa Centrum Kultury i Sportu przy ul. Matejki - budowa zadaszenia amfiteatru w Świnoujściu</t>
  </si>
  <si>
    <t>Budowa Centrum Kultury i Sportu przy ul. Matejki - budowa zadaszenia amfiteatru         w Świnoujściu</t>
  </si>
  <si>
    <t>- kredyty i pożyczki</t>
  </si>
  <si>
    <t xml:space="preserve">W zestawieniu nie ujmuje się wydatków  związanych ze zwrotem dotacji (w ramach § 2910 i §6660) </t>
  </si>
  <si>
    <t>Prywatne Uzupełniające Liceum Ogólnokształcące dla Dorosłych "Twoja Szkoła"</t>
  </si>
  <si>
    <t>Przelewy redystrybucyjne</t>
  </si>
  <si>
    <t>§296</t>
  </si>
  <si>
    <t>§300</t>
  </si>
  <si>
    <t>§285</t>
  </si>
  <si>
    <t>Uzupełniające Liceum Ogólnokształcące dla Dorosłych "Żak"</t>
  </si>
  <si>
    <t>inne dochody</t>
  </si>
  <si>
    <t>Budowa stałego połączenia pomiędzy wyspami Uznam i Wolin</t>
  </si>
  <si>
    <t xml:space="preserve">                                             </t>
  </si>
  <si>
    <t>5. Odsetki</t>
  </si>
  <si>
    <t xml:space="preserve">    - od środków finansowych zgromadzonych na rachunkach  bankowych</t>
  </si>
  <si>
    <t xml:space="preserve">6. Inne dochody </t>
  </si>
  <si>
    <t>Renowacja zabytkowego budynku SP 1 oraz zagospodarowanie przyległego terenu na ogólnodostępne boisko sportowe i plac zabaw</t>
  </si>
  <si>
    <t>Kary i odszkodowania wypłacane na rzecz osób prawnych i innych jednostek organizacyjnych</t>
  </si>
  <si>
    <t>Inne dochody</t>
  </si>
  <si>
    <t>Pozostałe wydatki</t>
  </si>
  <si>
    <t>Miejskie imprezy kulturalne</t>
  </si>
  <si>
    <t>Dotacja z budżetu miasta na działalność podstawową</t>
  </si>
  <si>
    <t xml:space="preserve">Dotacja z budżetu miasta na pokrycie kosztów wystawy PPDiUR ODRA </t>
  </si>
  <si>
    <t>Sprzedaż biletów i wydawnictw</t>
  </si>
  <si>
    <t>Środki od LGR na dofinansowanie wystawy PPDiUR ODRA</t>
  </si>
  <si>
    <t>Niedobór do rozliczenia</t>
  </si>
  <si>
    <t>Składki członkowskie i ubezpieczenie mienia</t>
  </si>
  <si>
    <t xml:space="preserve">Podróże służbowe </t>
  </si>
  <si>
    <t>Zakup usług obcych</t>
  </si>
  <si>
    <t>Świadczenia na rzecz pracowników</t>
  </si>
  <si>
    <t>wg wydruku z Rekordu</t>
  </si>
  <si>
    <t>Rewitalizacja starych portów przemysłowych na drodze zrównoważonego rozwoju gospodarczego</t>
  </si>
  <si>
    <t>Jednostka realizująca projekt</t>
  </si>
  <si>
    <t>Urząd Miasta (WE)</t>
  </si>
  <si>
    <t>Urząd Miasta
 (WIM)</t>
  </si>
  <si>
    <t>Miejski Ośrodek Pomocy Rodzinie</t>
  </si>
  <si>
    <t>Powiatowy Urząd Pracy</t>
  </si>
  <si>
    <t>Urząd Miasta
 (WRG)</t>
  </si>
  <si>
    <t>Przygotowanie terenów inwestycyjnych Dzielnicy Nadmorskiej pomiędzy ulicami Małachowskiego i Plażową</t>
  </si>
  <si>
    <t>Budowa szkolnego ośrodka żeglarskiego w Przytorze</t>
  </si>
  <si>
    <t>wg rekordu</t>
  </si>
  <si>
    <t>Projekt zintegrowany "Śródmieście" - Przebudowa Parku przy ul. Chopina</t>
  </si>
  <si>
    <t xml:space="preserve">   - wydatki związane z realizacją zadań statutowych( w tym na jednostki pomocnicze)</t>
  </si>
  <si>
    <t>Melioracja terenów zurbanizowanych na obszarze Miasta Świnoujście</t>
  </si>
  <si>
    <t>- w tym wydatki na rzecz jednostek pomocniczych</t>
  </si>
  <si>
    <t xml:space="preserve">Tabela nr 12 </t>
  </si>
  <si>
    <t>Tabela nr 14</t>
  </si>
  <si>
    <t>Tabela 19</t>
  </si>
  <si>
    <t>środki unijne</t>
  </si>
  <si>
    <t>wkład krajowy (własny)</t>
  </si>
  <si>
    <t>Tabela nr 15</t>
  </si>
  <si>
    <t>Nr strony z opisem wydatków</t>
  </si>
  <si>
    <t>x</t>
  </si>
  <si>
    <t>Wpływy do budżetu nadwyżki środków obrotowych samorządowego zakładu budżetowego</t>
  </si>
  <si>
    <t xml:space="preserve">Edukacyjny plac zabaw na terenie Parku Zdrojowego w Świnoujściu w ramach projektu "Morze Bałtyckie - łączące wyspy, kraje kultury i regiony przyrodnicze - wspólny polsko-niemiecki projekt w zakresie edukacji ekologicznej </t>
  </si>
  <si>
    <t>- spłata udzielonych pożyczek</t>
  </si>
  <si>
    <t>pozostałe dotacje (w tym rozwojowe)</t>
  </si>
  <si>
    <t>Otrzymane środki
 (§ 2900)
ogółem</t>
  </si>
  <si>
    <t>OD 2012 R. DOCHODY SĄ W § 2900  A NIE § 2320</t>
  </si>
  <si>
    <t>VI.</t>
  </si>
  <si>
    <t>RAZEM III+IV+V+VI</t>
  </si>
  <si>
    <t>Dotacja przedmiotowa z budżetu otrzymana przez zakład budżetowy (netto)</t>
  </si>
  <si>
    <t>Dotacja przedmiotowa z budżetu otrzymana przez zakład budżetowy (brutto)</t>
  </si>
  <si>
    <t>Składki na ubezpieczenie społeczne i Fundusz Pracy</t>
  </si>
  <si>
    <r>
      <t xml:space="preserve">Spłaty otrzymanych krajowych pożyczek i kredytów
</t>
    </r>
    <r>
      <rPr>
        <i/>
        <sz val="10"/>
        <rFont val="Times New Roman"/>
        <family val="1"/>
      </rPr>
      <t>w tym:</t>
    </r>
  </si>
  <si>
    <t>Wpływy z wpłat gmin i powiatów na rzecz innych jednostek samorządu terytorialnego oraz związków gmin lub związków powiatów na dofinansowanie zadań bieżących</t>
  </si>
  <si>
    <t>85206</t>
  </si>
  <si>
    <t>Wspieranie rodziny</t>
  </si>
  <si>
    <t>Środki na uzupełnienie dochodów gmin</t>
  </si>
  <si>
    <t>Dotacje celowe otrzymane z budżetu państwa na 
zadania bieżące realizowane przez powiat na podstawie porozumień z organami administracji rzadowej</t>
  </si>
  <si>
    <t>Środki na dofinansowanie własnych zadań 
bieżących gmin (związków gmin), powiatów (związków powiatów), samorządów województw, pozyskane z innych źródeł
Finansowanie programów ze środków bezzwrotnych pochodzących z Unii Europejskiej</t>
  </si>
  <si>
    <t>/w zł/</t>
  </si>
  <si>
    <t>Rozdział</t>
  </si>
  <si>
    <t>Treść</t>
  </si>
  <si>
    <t>Plan</t>
  </si>
  <si>
    <t>Wykonanie</t>
  </si>
  <si>
    <t>%</t>
  </si>
  <si>
    <t>010</t>
  </si>
  <si>
    <t>Pozostała działalność</t>
  </si>
  <si>
    <t>020</t>
  </si>
  <si>
    <t>02095</t>
  </si>
  <si>
    <t>500</t>
  </si>
  <si>
    <t>30.06.2010 r.</t>
  </si>
  <si>
    <t>RAZEM</t>
  </si>
  <si>
    <t>- zakup i objęcie akcji lub udziałów oraz wniesienie wkładów do spółek prawa handlowego</t>
  </si>
  <si>
    <t>wg Rb (majątkowe bez §)</t>
  </si>
  <si>
    <t>wg tabeli gmina łącznie</t>
  </si>
  <si>
    <t>wg tabeli powiat łącznie</t>
  </si>
  <si>
    <t>Różnica gmina</t>
  </si>
  <si>
    <t>Różnica powiat</t>
  </si>
  <si>
    <t>zwrot dotacji</t>
  </si>
  <si>
    <t>wg REKORDU powiat łącznie</t>
  </si>
  <si>
    <t>Placówki opiekuńczo-wychowawcze</t>
  </si>
  <si>
    <t>nie może być ujemna!</t>
  </si>
  <si>
    <t>2690</t>
  </si>
  <si>
    <t xml:space="preserve">    - uzdrowiskowa</t>
  </si>
  <si>
    <t>Urzędy naczelnych organów władzy państwowej, kontroli i ochrony prawa oraz sądownictwa</t>
  </si>
  <si>
    <t>Rb 28S</t>
  </si>
  <si>
    <t>Miejska Biblioteka Publiczna</t>
  </si>
  <si>
    <t>Muzeum Rybołówstwa Morskiego</t>
  </si>
  <si>
    <t>Rozchody</t>
  </si>
  <si>
    <t>Źródła dochodów</t>
  </si>
  <si>
    <t>2. Opłaty</t>
  </si>
  <si>
    <t>Pozostałe zadania w zakresie polityki społecznej</t>
  </si>
  <si>
    <t>Dochody od osób prawnych, od osób fizycznych i od innych jednostek nieposiadających osobowości prawnej oraz wydatki związane z ich poborem</t>
  </si>
  <si>
    <t>Wytwarzanie i zaopatrywanie w energię elektryczną, gaz i wodę</t>
  </si>
  <si>
    <t>II. Subwencje</t>
  </si>
  <si>
    <t xml:space="preserve">    - od nieruchomości </t>
  </si>
  <si>
    <t xml:space="preserve">    - rolny</t>
  </si>
  <si>
    <t xml:space="preserve">    - leśny</t>
  </si>
  <si>
    <t xml:space="preserve">    - od środków transportowych</t>
  </si>
  <si>
    <t xml:space="preserve">    - od spadków i darowizn</t>
  </si>
  <si>
    <t xml:space="preserve">    - od czynności cywilnoprawnych</t>
  </si>
  <si>
    <t xml:space="preserve">    - skarbowa</t>
  </si>
  <si>
    <t xml:space="preserve">    - komunikacyjna</t>
  </si>
  <si>
    <t>Tabela nr 7</t>
  </si>
  <si>
    <t xml:space="preserve">Przychody </t>
  </si>
  <si>
    <t xml:space="preserve">Rozchody </t>
  </si>
  <si>
    <t>Nadzór budowlany</t>
  </si>
  <si>
    <t>71035</t>
  </si>
  <si>
    <t>GOSPODARKA MIESZKANIOWA</t>
  </si>
  <si>
    <t>70005</t>
  </si>
  <si>
    <t>Gospodarka gruntami i nieruchomościami</t>
  </si>
  <si>
    <t>710</t>
  </si>
  <si>
    <t>DZIAŁALNOŚĆ USŁUGOWA</t>
  </si>
  <si>
    <t>71013</t>
  </si>
  <si>
    <t>71014</t>
  </si>
  <si>
    <t>Opracowania geodezyjne i kartograficzne</t>
  </si>
  <si>
    <t>71015</t>
  </si>
  <si>
    <t>PRZYCHODY I ROZCHODY</t>
  </si>
  <si>
    <t>zlecone P</t>
  </si>
  <si>
    <t>porozumienia G</t>
  </si>
  <si>
    <t>zlecone  i własne G</t>
  </si>
  <si>
    <t>porozumienia i własne G</t>
  </si>
  <si>
    <t>Budowa budynków mieszkalnych komunalnych w Świnoujściu</t>
  </si>
  <si>
    <t>Gospodarka komunalna i ochrona środowiska</t>
  </si>
  <si>
    <t>Kultura i ochrona dziedzictwa narodowego</t>
  </si>
  <si>
    <t>Nazwa działu</t>
  </si>
  <si>
    <t>Dochody</t>
  </si>
  <si>
    <t>Rolnictwo i łowiectwo</t>
  </si>
  <si>
    <t>Leśnictwo</t>
  </si>
  <si>
    <t>Handel</t>
  </si>
  <si>
    <t xml:space="preserve">Turystyka </t>
  </si>
  <si>
    <t>Gospodarka mieszkaniowa</t>
  </si>
  <si>
    <t>Działalność usługowa</t>
  </si>
  <si>
    <t>Administracja publiczna</t>
  </si>
  <si>
    <t>Bezpieczeństwo publiczne i ochrona przeciwpożarowa</t>
  </si>
  <si>
    <t>756</t>
  </si>
  <si>
    <t>Obsługa długu publicznego</t>
  </si>
  <si>
    <t>Różne rozliczenia</t>
  </si>
  <si>
    <t>Edukacyjna opieka wychowawcza</t>
  </si>
  <si>
    <t>Ogółem dochody i wydatki</t>
  </si>
  <si>
    <t>Ośrodki wparcia</t>
  </si>
  <si>
    <t>550</t>
  </si>
  <si>
    <t>Hotele i restauracje</t>
  </si>
  <si>
    <t>WYDATKI NA PROJEKTY REALIZOWANE Z UDZIAŁEM ŚRODKÓW UNII EUROPEJSKIEJ
(KOSZTY KWALIFIKOWANE)</t>
  </si>
  <si>
    <t>- inwestycje i zakupy inwestycyjne (w tym dotacje)</t>
  </si>
  <si>
    <t>plan wg rb</t>
  </si>
  <si>
    <t>2400</t>
  </si>
  <si>
    <t>75056</t>
  </si>
  <si>
    <t>Spis powszechny i inne</t>
  </si>
  <si>
    <t>75109</t>
  </si>
  <si>
    <t>Wybory do rad gmin, rad powiatów i sejmików województw, wybory wójtów, burmistrzów i prezydentów miast oraz referenda gminne, powiatowe i wojewódzkie</t>
  </si>
  <si>
    <t>Transgraniczna promenada pomiędzy Świnoujściem i Gminą Heringsdorf</t>
  </si>
  <si>
    <t>Kwota wydatków</t>
  </si>
  <si>
    <t>Piramida Kompetencji</t>
  </si>
  <si>
    <t>% wykona-
nia</t>
  </si>
  <si>
    <t xml:space="preserve"> rozchody wg sprawozdania Rb</t>
  </si>
  <si>
    <t>- udzielone pożyczki</t>
  </si>
  <si>
    <t>Razem wydatki gminy (bieżące i majątkowe)</t>
  </si>
  <si>
    <t>Razem wydatki powiatu (bieżące i majątkowe)</t>
  </si>
  <si>
    <t>% wyk.</t>
  </si>
  <si>
    <t>Tabela nr 20</t>
  </si>
  <si>
    <t>600</t>
  </si>
  <si>
    <t>TRANSPORT I ŁĄCZNOŚĆ</t>
  </si>
  <si>
    <t>60015</t>
  </si>
  <si>
    <t>60016</t>
  </si>
  <si>
    <t>Drogi publiczne gminne</t>
  </si>
  <si>
    <t>630</t>
  </si>
  <si>
    <t>TURYSTYKA</t>
  </si>
  <si>
    <t>700</t>
  </si>
  <si>
    <t>Bez dotacji z § 2870 dla gmin uzdrowiskowych</t>
  </si>
  <si>
    <t>Współfinansowanie programów i projektów realizowanych ze środków z funduszy strukturalnych, Funduszu Spójności, Europejskiego Funduszu Rybackiego oraz z funduszy unijnych finansujących Wspólną Politykę Rolną</t>
  </si>
  <si>
    <t>Środki na utrzymanie rzecznych przepraw promowych oraz na remonty, utrzymanie, ochronę i zarządzanie drogami krajowymi i wojewódzkimi w granicach miast na prawach powiatu</t>
  </si>
  <si>
    <t>85404</t>
  </si>
  <si>
    <t>Wczesne wspomaganie rozwoju dziecka</t>
  </si>
  <si>
    <t>ZMIANY DOKONANE W DOCHODACH I WYDATKACH</t>
  </si>
  <si>
    <t>WYTWARZANIE I ZAOPATRYWANIE W ENERGIĘ ELEKTRYCZNĄ, GAZ I WODĘ</t>
  </si>
  <si>
    <t>Licea ogólnokształcące</t>
  </si>
  <si>
    <t>§ 963</t>
  </si>
  <si>
    <t>Spłaty pożyczek otrzymanych na finansowanie zadań realizowanych z udziałem środków pochodzących z budżetu Unii Europejskiej</t>
  </si>
  <si>
    <t>3. Udziały w podatkach stanowiących dochód budżetu 
    państwa</t>
  </si>
  <si>
    <t>7.</t>
  </si>
  <si>
    <t>8.</t>
  </si>
  <si>
    <t>11.</t>
  </si>
  <si>
    <t>14.</t>
  </si>
  <si>
    <t>Źródła pokrycia (1-2)</t>
  </si>
  <si>
    <t>Odsetki od nieterminowych wpłat z tytułu podatków i opłat</t>
  </si>
  <si>
    <t>DOCHODY</t>
  </si>
  <si>
    <t>WYDATKI</t>
  </si>
  <si>
    <t>PRZYCHODY</t>
  </si>
  <si>
    <t>ROZCHODY</t>
  </si>
  <si>
    <t>Wpływy z opłaty uzdrowiskowej, pobieranej w gminach posiadających status gminy uzdrowiskowej</t>
  </si>
  <si>
    <t>Podatek od działalności gospodarczej osób fizycznych, opłacany w formie karty podatkowej</t>
  </si>
  <si>
    <t>Udziały powiatów w podatkach stanowiących dochód budżetu państwa</t>
  </si>
  <si>
    <t>01005</t>
  </si>
  <si>
    <t>2110</t>
  </si>
  <si>
    <t>Prace geodezyjno-urządzeniowe na potrzeby rolnictwa</t>
  </si>
  <si>
    <t>6207</t>
  </si>
  <si>
    <t>6209</t>
  </si>
  <si>
    <t>Dotacje celowe w ramach programów finansowanych z udziałem środków europejskich oraz środków, o których mowa w art. 5 ust. 1 pkt 3 oraz ust.3 pkt 5 i 6 ustawy, lub płatności w ramach budżetu środków europejskich</t>
  </si>
  <si>
    <t>6297</t>
  </si>
  <si>
    <t>0960</t>
  </si>
  <si>
    <t>Otrzymane spadki, zapisy i darowizny w postaci pieniężnej</t>
  </si>
  <si>
    <t>Wpływ do budżetu pozostałości środków finansowych gromadzonych na wydzielonym rachunku jednostki budżetowej</t>
  </si>
  <si>
    <t xml:space="preserve">    - wpływy z innych dochodów</t>
  </si>
  <si>
    <t>0840</t>
  </si>
  <si>
    <t>Zagospodarowanie terenu przy szkole Podstawowej nr 6 w Świnoujściu - modernizacja boiska sportowego"</t>
  </si>
  <si>
    <t>Urząd Miasta
 (SP6)</t>
  </si>
  <si>
    <t>Modernizacja boiska sportowego przy Liceum Ogólnokształcącym z Oddziałami Integracyjnymi</t>
  </si>
  <si>
    <t>Urząd Miasta
 (LOzOI)</t>
  </si>
  <si>
    <t>85154 /            90004</t>
  </si>
  <si>
    <t>ZGM</t>
  </si>
  <si>
    <t>Dofinansowanie prac związanych z zagospodarowaniem terenu pod plac biwakowy w Karsiborzu</t>
  </si>
  <si>
    <t>Komendy powiatowe Państwowej Straż Pożarnej</t>
  </si>
  <si>
    <t>Przedszkole Niepubliczne "Motylek"</t>
  </si>
  <si>
    <t>Aktywne Przedszkole "Kogut"</t>
  </si>
  <si>
    <t>Społeczne Gimnazjum 
Społecznego Towarzystwa Szkoły Gimnazjalnej</t>
  </si>
  <si>
    <t xml:space="preserve">Policealna Szkoła Centrum Nauki i Biznesu "Żak" </t>
  </si>
  <si>
    <t>Zakupy inwestycyjne dla Państwowej Straży Pożarnej</t>
  </si>
  <si>
    <t xml:space="preserve">5. Dotacje inwestycyjne (§6210,6218 - zakłady budżetowe, §6220,6229 - inne jednostki sektora fp, §6230 - inne jednostki nie zaliczane do sektora fp , §6170 - wpłaty na fundusz celowy, §6570 - dofinansowanie zadań inwestycyjnych obiektów zabytkowych jednostkom niezaliczanym do sektora fp </t>
  </si>
  <si>
    <t>4. Inne dotacje i subwencje bieżące (§2850 - wpłaty na rzecz izb rolniczych, §2900 - wpłaty gmin i powiatów na rzecz innych jednostek, §3000 - wpłaty jednostek na fundusz celowy, §2960-przelewy redystrybucyjne)</t>
  </si>
  <si>
    <t>Przedsiębiorcza Młodzież</t>
  </si>
  <si>
    <t>6208</t>
  </si>
  <si>
    <t>25.10.2013 r.</t>
  </si>
  <si>
    <t>660/2013</t>
  </si>
  <si>
    <t>29.10.2013 r.</t>
  </si>
  <si>
    <t>668/2013</t>
  </si>
  <si>
    <t>31.10.2013 r.</t>
  </si>
  <si>
    <t>674/2013</t>
  </si>
  <si>
    <t>Wpływy z opłat za zarząd, użytkowanie, służebności i użytkowanie wieczyste nieruchomości</t>
  </si>
  <si>
    <t>- najem i dzierżawa składników majątkowych</t>
  </si>
  <si>
    <t>- osobowe pracowników</t>
  </si>
  <si>
    <t>- bezosobowe i agencyjno-prowizyjne</t>
  </si>
  <si>
    <t>- na inwestycje</t>
  </si>
  <si>
    <t>Dotacje celowe otrzymane z budżetu państwa na realizację zadań bieżących z zakresu administracji rządowej oraz innych zadań zleconych gminie (związkom gmin) ustawami</t>
  </si>
  <si>
    <t>Urzędy gmin (miast i miast na prawach powiatu)</t>
  </si>
  <si>
    <t>Wpływy z opłat za koncesje i licencje</t>
  </si>
  <si>
    <t>Komendy powiatowe Państwowej Straży Pożarnej</t>
  </si>
  <si>
    <t xml:space="preserve">Subwencje ogólne z budżetu państwa </t>
  </si>
  <si>
    <t>Ośrodki wsparcia</t>
  </si>
  <si>
    <t>Dotacje celowe otrzymane z budżetu państwa na realizację własnych zadań bieżących gmin (związków gmin)</t>
  </si>
  <si>
    <t>Wpływy z opłaty eksploatacyjnej</t>
  </si>
  <si>
    <t>Wpływy z innych opłat stanowiących dochody jednostek samorządu terytorialnego na podstawie ustaw</t>
  </si>
  <si>
    <t xml:space="preserve">                        Budżet  (zł)</t>
  </si>
  <si>
    <t>Zespoły do spraw orzekania o niepełnosprawności</t>
  </si>
  <si>
    <t>Oczyszczanie miast i wsi</t>
  </si>
  <si>
    <t>Wpływy do budżetu części zysku gospodarstwa pomocniczego</t>
  </si>
  <si>
    <t>Dotacje celowe otrzymane z budżetu państwa na zadania bieżące realizowane przez gminę na podstawie porozumień z organami administracji rządowej</t>
  </si>
  <si>
    <t>63003</t>
  </si>
  <si>
    <t>Zadania w zakresie upowszechniania turystyki</t>
  </si>
  <si>
    <t>75416</t>
  </si>
  <si>
    <t>400</t>
  </si>
  <si>
    <t>MIEJSKA BIBLIOTEKA PUBLICZNA</t>
  </si>
  <si>
    <t xml:space="preserve">Projekt zintegrowany "Śródmieście" - Przebudowa Parku przy ul. Chopina </t>
  </si>
  <si>
    <t>pozostałe, w tym: środki na inwestycje</t>
  </si>
  <si>
    <t>wpisać ręcznie</t>
  </si>
  <si>
    <t>dotacje i ich zwroty</t>
  </si>
  <si>
    <r>
      <t>Zakład Gospodarki Mieszkaniowej</t>
    </r>
    <r>
      <rPr>
        <sz val="10"/>
        <rFont val="Times New Roman"/>
        <family val="1"/>
      </rPr>
      <t xml:space="preserve">
Dopłata do utrzymania 1m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powierzchni użytkowej komunalnych zasobów mieszkaniowych</t>
    </r>
  </si>
  <si>
    <r>
      <t xml:space="preserve">Wynagrodzenia i składki od nich naliczane </t>
    </r>
    <r>
      <rPr>
        <sz val="9"/>
        <rFont val="Times New Roman"/>
        <family val="1"/>
      </rPr>
      <t>(wraz ze składkami od świadczeń)</t>
    </r>
  </si>
  <si>
    <r>
      <t xml:space="preserve">DOCHODY I WYDATKI ZWIĄZANE Z REALIZACJĄ ZADAŃ WYKONYWANYCH NA PODSTAWIE POROZUMIEŃ (UMÓW) 
MIĘDZY JEDNOSTKAMI SAMORZĄDU TERYTORIALNEGO   
</t>
    </r>
    <r>
      <rPr>
        <sz val="10"/>
        <rFont val="Times New Roman"/>
        <family val="1"/>
      </rPr>
      <t xml:space="preserve">(FINANSOWANE ZADAŃ Z WPŁAT INNYCH POWIATÓW) </t>
    </r>
  </si>
  <si>
    <r>
      <t xml:space="preserve">Wynagrodzenia i składki od nich naliczane </t>
    </r>
    <r>
      <rPr>
        <sz val="10"/>
        <rFont val="Times New Roman"/>
        <family val="1"/>
      </rPr>
      <t>(wraz ze składkami od świadczeń)</t>
    </r>
  </si>
  <si>
    <t>własne G</t>
  </si>
  <si>
    <t>porozumienia i własne P</t>
  </si>
  <si>
    <t>zlecone G</t>
  </si>
  <si>
    <t>zlecone G i P</t>
  </si>
  <si>
    <t>zlecone i porozumienia P</t>
  </si>
  <si>
    <t xml:space="preserve">    - zwrot dotacji pobranej w nadmiernej wysokości</t>
  </si>
  <si>
    <t>34.</t>
  </si>
  <si>
    <t>DOTACJE BIEŻĄCE</t>
  </si>
  <si>
    <t>Termin 
realizacji</t>
  </si>
  <si>
    <t>30.</t>
  </si>
  <si>
    <t>31.</t>
  </si>
  <si>
    <t>4.10</t>
  </si>
  <si>
    <t>Inne jednostki</t>
  </si>
  <si>
    <t>§657</t>
  </si>
  <si>
    <t>wg Rb (bieżące bez §291)</t>
  </si>
  <si>
    <t>6298</t>
  </si>
  <si>
    <t xml:space="preserve">Drogi publiczne krajowe </t>
  </si>
  <si>
    <t>Społeczne Liceum Ogólnokształcące Społecznego Towarzystwa Szkoły Gimnazjalnej</t>
  </si>
  <si>
    <t>I Liceum Społeczne Fundacji LOGOS</t>
  </si>
  <si>
    <t>Dotacje celowe otrzymane z budżetu państwa na inwestycje i zakupy inwestycyjne z zakresu administracji rządowej oraz inne zadania zlecone ustawami realizowane przez powiat</t>
  </si>
  <si>
    <t>Dotacje celowe otrzymane z budżetu państwa na realizację bieżących zadań własnych powiatu</t>
  </si>
  <si>
    <t>1</t>
  </si>
  <si>
    <t xml:space="preserve">Wydatki majątkowe </t>
  </si>
  <si>
    <t>Otrzymane dotacje</t>
  </si>
  <si>
    <t>Poniesione wydatki</t>
  </si>
  <si>
    <t>Grzywny i inne kary pieniężne od osób prawnych i innych jednostek organizacyjnych</t>
  </si>
  <si>
    <t>0580</t>
  </si>
  <si>
    <t>Grzywny, mandaty i inne kary pieniężne od osób fizycznych</t>
  </si>
  <si>
    <t>35.</t>
  </si>
  <si>
    <t>0390</t>
  </si>
  <si>
    <t xml:space="preserve">Wpływy ze zwrotów dotacji oraz płatności, w tym wykorzystanych niezgodnie z przeznaczeniem lub wykorzystanych z naruszeniem procedur, o których mowa w art. 184 ustawy, pobranych nienależnie lub w nadmiernej wysokości </t>
  </si>
  <si>
    <t>Pozostałe podatki na rzecz budżetów jednostek samorządu terytorialnego</t>
  </si>
  <si>
    <t xml:space="preserve">    - targowa</t>
  </si>
  <si>
    <t>752</t>
  </si>
  <si>
    <t>75212</t>
  </si>
  <si>
    <t>Pozostałe wydatki obronne</t>
  </si>
  <si>
    <t>OBRONA NARODOWA</t>
  </si>
  <si>
    <t>75415</t>
  </si>
  <si>
    <t>Wpływy z podatku rolnego, podatku leśnego, podatku od czynności cywilnoprawnych, podatków i opłat lokalnych od osób prawnych i innych jednostek organizacyjnych</t>
  </si>
  <si>
    <t>Zasiłki i pomoc w naturze oraz składki na ubezpieczenia emerytalne i rentowe</t>
  </si>
  <si>
    <t>Zasiłki i pomoc w naturze  oraz składki na ubezpieczenia emerytalne i rentowe</t>
  </si>
  <si>
    <t>DOCHODY OD OSÓB PRAWNYCH, OD OSÓB FIZYCZNYCH I OD INNYCH JEDNOSTEK NIEPOSIADAJĄCYCH  OSOBOWOŚCI PRAWNEJ ORAZ WYDATKI ZWIĄZANE Z ICH POBOREM</t>
  </si>
  <si>
    <t>POZOSTAŁE ZADANIA W ZAKRESIE 
POLITYKI SPOŁECZNEJ</t>
  </si>
  <si>
    <t xml:space="preserve">  a)  z budżetu państwa na zadania własne (w tym dotacja uzdrowiskowa)</t>
  </si>
  <si>
    <t xml:space="preserve">  b) z budżetu państwa na zadania z zakresu administracji rządowej</t>
  </si>
  <si>
    <t xml:space="preserve">  c) z budżetu państwa na zadania realizowane na podstawie porozumień z organami administracji rządowej</t>
  </si>
  <si>
    <t>Dotacja z budżetu miasta na inwestycje</t>
  </si>
  <si>
    <r>
      <t>Środki z UE na dofinansowanie remontu budynku Muzeum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(w tym refundacja kosztów dokumentacji projektowej poniesionych ze środków własnych w 2011r.)</t>
    </r>
  </si>
  <si>
    <t>Świadczenia urlopowe i inne wydatki osobowe</t>
  </si>
  <si>
    <t>Zakup usług obcych i remontowych</t>
  </si>
  <si>
    <t>wyposażenie</t>
  </si>
  <si>
    <t>2.7</t>
  </si>
  <si>
    <t>produkty spożywcze i preparaty odżywcze</t>
  </si>
  <si>
    <t>materiały opatrunkowe</t>
  </si>
  <si>
    <t>2.8</t>
  </si>
  <si>
    <t>leki i wyroby farmaceutyczne</t>
  </si>
  <si>
    <t>Poradnie psychologiczno - pedagogiczne, w tym poradnie specjalistyczne</t>
  </si>
  <si>
    <t>Placówki wychowania pozaszkolnego</t>
  </si>
  <si>
    <t>Internaty i bursy szkolne</t>
  </si>
  <si>
    <t>Szkolne schroniska młodzieżowe</t>
  </si>
  <si>
    <t>85419</t>
  </si>
  <si>
    <t>85446</t>
  </si>
  <si>
    <t>85495</t>
  </si>
  <si>
    <t>2680</t>
  </si>
  <si>
    <t>Rekompensaty utraconych dochodów w podatkach i opłatach lokalnych</t>
  </si>
  <si>
    <t>6260</t>
  </si>
  <si>
    <t>6300</t>
  </si>
  <si>
    <t>92695</t>
  </si>
  <si>
    <t>2710</t>
  </si>
  <si>
    <t>Dotacje otrzymane z funduszy celowych na finansowanie lub dofinansowanie kosztów realizacji inwestycji i zakupów inwestycyjnych jednostek sektora finansów publicznych</t>
  </si>
  <si>
    <t>gazy medyczne</t>
  </si>
  <si>
    <t>2.11</t>
  </si>
  <si>
    <t>materiały diagnostyczne, kasety do analizatora OIOM</t>
  </si>
  <si>
    <t>2.12</t>
  </si>
  <si>
    <t>materiały do konserwacji i remontów</t>
  </si>
  <si>
    <t>2.13</t>
  </si>
  <si>
    <t>materiały medyczne wielokrotnego użycia</t>
  </si>
  <si>
    <t>2.14</t>
  </si>
  <si>
    <t>paliwo - olej napędowy</t>
  </si>
  <si>
    <t>2.15</t>
  </si>
  <si>
    <t>materiały laboratoryjne, w tym odczynniki</t>
  </si>
  <si>
    <t>ENERGIA</t>
  </si>
  <si>
    <t>energia elektryczna</t>
  </si>
  <si>
    <t>woda, ścieki</t>
  </si>
  <si>
    <t>energia cieplna</t>
  </si>
  <si>
    <t>USŁUGI OBCE</t>
  </si>
  <si>
    <t>konserwacja, przeglady i naprawy sprzętu</t>
  </si>
  <si>
    <t>wywóz śmieci</t>
  </si>
  <si>
    <t>opłaty pocztowe i telekomunikacyjne</t>
  </si>
  <si>
    <t>badania laboratoryjne (w tym: immunologiczne, bakteriologiczne, histopatologiczne,cytologiczne, cytopatalogiczne, wykrywanie przeciwciał, próby zgodności, rozmaz szpiku)</t>
  </si>
  <si>
    <t>badania: tomografia, rezonans, gastroskopia, EPW, EMG itp.</t>
  </si>
  <si>
    <t>dzierżawa analizatorów</t>
  </si>
  <si>
    <t>usługi pralnicze</t>
  </si>
  <si>
    <t>dzierżawa pościeli</t>
  </si>
  <si>
    <t>transport medyczny</t>
  </si>
  <si>
    <t>usługi transportowe pozostałe</t>
  </si>
  <si>
    <t>wywóz i zagospodarowanie odpadów medycznych</t>
  </si>
  <si>
    <t>usługi gastronomiczne</t>
  </si>
  <si>
    <t>4.13</t>
  </si>
  <si>
    <t>usługi dezynfekcyjne</t>
  </si>
  <si>
    <t>4.14</t>
  </si>
  <si>
    <t>dzierżawa i transport butli do gazów medycznych</t>
  </si>
  <si>
    <t>4.15</t>
  </si>
  <si>
    <t xml:space="preserve">eksploatacja przyłącza </t>
  </si>
  <si>
    <t>4.16</t>
  </si>
  <si>
    <t>monitoring obiektów - dozór</t>
  </si>
  <si>
    <t>4.17</t>
  </si>
  <si>
    <t>najem lokalu (ul. Dąbrowskiego)</t>
  </si>
  <si>
    <t>4.18</t>
  </si>
  <si>
    <t>obsługa rozprężalni tlenu</t>
  </si>
  <si>
    <t>4.19</t>
  </si>
  <si>
    <t>usługi serwisowe (ksero)</t>
  </si>
  <si>
    <t>4.20</t>
  </si>
  <si>
    <t>remonty pomieszczeń</t>
  </si>
  <si>
    <t>4.21</t>
  </si>
  <si>
    <t>usługi informatyczne</t>
  </si>
  <si>
    <t>4.22</t>
  </si>
  <si>
    <t>obsługa prawna</t>
  </si>
  <si>
    <t>200,620</t>
  </si>
  <si>
    <t>271,630</t>
  </si>
  <si>
    <t>Budowa nowego przyłącza elektroenergetycznego do Centrum Edukacji Zawodowej i Turystyki przy ul. Gdyńskiej w Świnoujściu</t>
  </si>
  <si>
    <t>powiat bieżące i majątkowe z wydruku Rekord</t>
  </si>
  <si>
    <t>różnica gmina</t>
  </si>
  <si>
    <t>różnica powiat</t>
  </si>
  <si>
    <t>0340</t>
  </si>
  <si>
    <t>0500</t>
  </si>
  <si>
    <t>0360</t>
  </si>
  <si>
    <t>2007</t>
  </si>
  <si>
    <t>Finansowanie programów i projektów ze środków funduszy strukturalnych, Funduszu Spójności, Europejskiego Funduszu Rybackiego oraz z funduszy unijnych finansujących Wspólną Politykę Rolną z wyłączeniem budżetu środków europejskich</t>
  </si>
  <si>
    <t>75107</t>
  </si>
  <si>
    <t>0370</t>
  </si>
  <si>
    <t>Opłata od posiadania psów</t>
  </si>
  <si>
    <t>2870</t>
  </si>
  <si>
    <t>Dotacja z budżetu państwa dla gmin uzdrowiskowych</t>
  </si>
  <si>
    <t>0900</t>
  </si>
  <si>
    <t>Odsetki od dotacji oraz płatności: wykorzystanych niezgodnie z przeznaczeniem lub wykorzystanych z naruszeniem procedur, o których mowa w art. 184 ustawy, pobranych nienależnie lub w nadmiernej wysokości</t>
  </si>
  <si>
    <t>0980</t>
  </si>
  <si>
    <t>Wpływy z tytułu zwrotów wypłaconych świadczeń z funduszu alimentacyjnego</t>
  </si>
  <si>
    <t>85216</t>
  </si>
  <si>
    <t>90011</t>
  </si>
  <si>
    <t>Fundusz Ochrony Środowiska i Gospodarki Wodnej</t>
  </si>
  <si>
    <t>85205</t>
  </si>
  <si>
    <t>2120</t>
  </si>
  <si>
    <t>§ 931</t>
  </si>
  <si>
    <t>Przychody ze sprzedaży innych papierów wartościowych</t>
  </si>
  <si>
    <t>2370</t>
  </si>
  <si>
    <t>Drogi publiczne w miastach na prawach powiatu 
(w rozdziale nie ujmuje się wydatków na drogi gminne)</t>
  </si>
  <si>
    <t>0430</t>
  </si>
  <si>
    <t>0410</t>
  </si>
  <si>
    <t>0420</t>
  </si>
  <si>
    <t>0460</t>
  </si>
  <si>
    <t>0480</t>
  </si>
  <si>
    <t>0590</t>
  </si>
  <si>
    <t>0010</t>
  </si>
  <si>
    <t>0020</t>
  </si>
  <si>
    <t>2920</t>
  </si>
  <si>
    <t>6330</t>
  </si>
  <si>
    <t>2130</t>
  </si>
  <si>
    <t>2020</t>
  </si>
  <si>
    <t>2030</t>
  </si>
  <si>
    <t>0400</t>
  </si>
  <si>
    <t>6290</t>
  </si>
  <si>
    <t>2360</t>
  </si>
  <si>
    <t>2790</t>
  </si>
  <si>
    <t>75832</t>
  </si>
  <si>
    <t>852</t>
  </si>
  <si>
    <t>85201</t>
  </si>
  <si>
    <t>85212</t>
  </si>
  <si>
    <t>85213</t>
  </si>
  <si>
    <t>85214</t>
  </si>
  <si>
    <t>85215</t>
  </si>
  <si>
    <t>85219</t>
  </si>
  <si>
    <t>Rozdział 92116</t>
  </si>
  <si>
    <t>85228</t>
  </si>
  <si>
    <t>2010</t>
  </si>
  <si>
    <t>85295</t>
  </si>
  <si>
    <t>POMOC SPOŁECZNA</t>
  </si>
  <si>
    <t>85203</t>
  </si>
  <si>
    <t>90002</t>
  </si>
  <si>
    <t>Gospodarka odpadami</t>
  </si>
  <si>
    <t>Część równoważąca subwencji ogólnej dla powiatów</t>
  </si>
  <si>
    <t>Pomoc społeczna</t>
  </si>
  <si>
    <t>Dochody jednostek samorządu terytorialnego związane z realizacją zadań  z zakresu administracji rządowej oraz innych zadań zleconych ustawami</t>
  </si>
  <si>
    <t>2</t>
  </si>
  <si>
    <t>Dochody z najmu i dzierżawy składników majątkowych Skarbu Państwa, jednostek samorządu terytorialnego lub innych jednostek zaliczanych do sektora finansów publicznych oraz innych umów o podobnym charakterze</t>
  </si>
  <si>
    <t>Data wprowadzenia</t>
  </si>
  <si>
    <t>zmniejszenia</t>
  </si>
  <si>
    <t>zwiększenia</t>
  </si>
  <si>
    <t>PLAN POCZĄTKOWY</t>
  </si>
  <si>
    <t>Ogółem zmiany</t>
  </si>
  <si>
    <t>PLAN KOŃCOWY</t>
  </si>
  <si>
    <t xml:space="preserve">  c) równoważąca</t>
  </si>
  <si>
    <t>80148</t>
  </si>
  <si>
    <t>- inwestycyjna</t>
  </si>
  <si>
    <t>Dotacje celowe otrzymane z budżetu państwa na realizację inwestycji i zakupów inwestycyjnych własnych gmin (związków gmin)</t>
  </si>
  <si>
    <t>Tabela nr 5</t>
  </si>
  <si>
    <t>75615</t>
  </si>
  <si>
    <t>Medycyna pracy (60015)</t>
  </si>
  <si>
    <t>1.3.1.9</t>
  </si>
  <si>
    <t>Konserwacja i bieżące utrzymanie sygnalizacji świetlnej (60015)</t>
  </si>
  <si>
    <t>1.3.1.10</t>
  </si>
  <si>
    <t>Oczyszczanie akwenów portowych (60015)</t>
  </si>
  <si>
    <t>1.3.1.11</t>
  </si>
  <si>
    <t>Konserwacja i bieżące utrzymanie systemu poboru opłat za przejazd przez most w Karsiborzu (60015)</t>
  </si>
  <si>
    <t>1.3.1.12</t>
  </si>
  <si>
    <t>Pielęgnacja i utrzymanie pasów zieleni przydrożnej na drogach krajowych, powiatowych, gminnych  na terenie miasta (60015/60016)</t>
  </si>
  <si>
    <t>1.3.1.13</t>
  </si>
  <si>
    <t>Wykonywanie bieżącego utrzymania i drobnych remontów nawierzchni jezdni, chodników, poboczy, wysepek, zatok itd. (60015, 60016)</t>
  </si>
  <si>
    <t>1.3.1.14</t>
  </si>
  <si>
    <t>Wykonywanie bieżącego utrzymania, konserwacji i drobnych remontów  instalacji i urządzeń odwodnienia dróg publicznych znajdujących się na terenie Miasta Świnoujście (60015, 60016)</t>
  </si>
  <si>
    <t>1.3.1.15</t>
  </si>
  <si>
    <t>Opłata abonamentowa za świadczenie usług monitoringu Biura Informacji Turystycznej (63003)</t>
  </si>
  <si>
    <t>1.3.1.16</t>
  </si>
  <si>
    <t>Opłata członkowska do Baltic Sail (63003)</t>
  </si>
  <si>
    <t>1.3.1.17</t>
  </si>
  <si>
    <t>Ochrona obiektów miasta (70005)</t>
  </si>
  <si>
    <t>1.3.1.18</t>
  </si>
  <si>
    <t>Gminna Komisja Urbanistyczno-Architektoniczna (71004)</t>
  </si>
  <si>
    <t>Urząd Miasta (WUA)</t>
  </si>
  <si>
    <t>1.3.1.19</t>
  </si>
  <si>
    <t>Projekt zmiany miejscowego planu zagospodarowania przestrzennego m. Świnoujście – jednostka obszarowa V, rejon ul. Ku Morzu (71004)</t>
  </si>
  <si>
    <t>1.3.1.20</t>
  </si>
  <si>
    <t>Projekt miejscowego planu zagospodarowania przestrzennego m. Świnoujście dla kwartału ul. Bohaterów Września, Monte Cassino, Armii Krajowej i Bolesława Chrobrego  (71004)</t>
  </si>
  <si>
    <t>1.3.1.21</t>
  </si>
  <si>
    <t xml:space="preserve"> Projekt miejscowego planu zagospodarowania przestrzennego m. Świnoujście dla kwartału ul. Hołdu Pruskiego, Monte Cassino, Piastowska, Piłsudskiego (71004)</t>
  </si>
  <si>
    <t>1.3.1.22</t>
  </si>
  <si>
    <t>Projekt miejscowego planu zagospodarowania przestrzennego m. Świnoujście – rejon ul. Bohaterów Września, Pl. Słowiański, Pl. Wolności (71004)</t>
  </si>
  <si>
    <t>1.3.1.23</t>
  </si>
  <si>
    <t>Projekt zmiany miejscowego planu zagospodarowania przestrzennego m. Świnoujście – jednostka obszarowa V, rejon stoczni (71004)</t>
  </si>
  <si>
    <t>1.3.1.24</t>
  </si>
  <si>
    <t>Projekt zmiany miejscowego planu zagospodarowania przestrzennego m. Świnoujście – jednostka obszarowa IV, rejon ul. Mostowej  (71004)</t>
  </si>
  <si>
    <t>1.3.1.25</t>
  </si>
  <si>
    <t>Projekt zmiany miejscowego planu zagospodarowania przestrzennego m. Świnoujście dla obszaru kolejkowego (71004)</t>
  </si>
  <si>
    <t>Studium komunikacyjne (71004)</t>
  </si>
  <si>
    <t>1.3.1.26</t>
  </si>
  <si>
    <t>Utrzymanie i zarządzanie cmentarzami komunalnymi (71035)</t>
  </si>
  <si>
    <t>1.3.1.27</t>
  </si>
  <si>
    <t>Wykonanie dokumentów komunikacyjnych (75020)</t>
  </si>
  <si>
    <t>Urząd Miasta (WKM)</t>
  </si>
  <si>
    <t>1.3.1.28</t>
  </si>
  <si>
    <t>Wykonanie tablic rejestracyjnych (75020)</t>
  </si>
  <si>
    <t>1.3.1.29</t>
  </si>
  <si>
    <t>Umowa o świadczenie usług zastępstwa procesowego i doradztwa prawnego w zakresie zastępstwa procesowego w postępowaniach o zwrot nadpłaty w podatku od towarów i usług (VAT) (75023)</t>
  </si>
  <si>
    <t>Urząd Miasta (WK)</t>
  </si>
  <si>
    <t>1.3.1.30</t>
  </si>
  <si>
    <t>Dzierżawa urządzenia wielofunkcyjnego formatu A3 kolor (75023)</t>
  </si>
  <si>
    <t>Urząd Miasta (BTI)</t>
  </si>
  <si>
    <t>1.3.1.31</t>
  </si>
  <si>
    <t>Serwisowanie programu REKORD (75023)</t>
  </si>
  <si>
    <t>1.3.1.32</t>
  </si>
  <si>
    <t>Hosting strony www.swinoujscie.pl (75023)</t>
  </si>
  <si>
    <t>1.3.1.33</t>
  </si>
  <si>
    <t>Wywóz nieczystości  (75023)</t>
  </si>
  <si>
    <t>Urząd Miasta (WO/DG)</t>
  </si>
  <si>
    <t>1.3.1.34</t>
  </si>
  <si>
    <t>Usługi telefonii stacjonarnej  (75023)</t>
  </si>
  <si>
    <t>1.3.1.35</t>
  </si>
  <si>
    <t>Usługi telefonii komórkowej  (75023)</t>
  </si>
  <si>
    <t>1.3.1.36</t>
  </si>
  <si>
    <t>Ochrona obiektów CAM (75023)</t>
  </si>
  <si>
    <t>1.3.1.37</t>
  </si>
  <si>
    <t>Dostawa paliw (75023)</t>
  </si>
  <si>
    <t>1.3.1.38</t>
  </si>
  <si>
    <t>Wysyłka poczty (75023)</t>
  </si>
  <si>
    <t>1.3.1.39</t>
  </si>
  <si>
    <t>Dostawa artykułów spożywczych (75023)</t>
  </si>
  <si>
    <t>1.3.1.40</t>
  </si>
  <si>
    <t>Eksploatacja trafostacji i sieci n/n (75023)</t>
  </si>
  <si>
    <t>1.3.1.41</t>
  </si>
  <si>
    <t>Kompleksowe ubezpieczenie Gminy Miasto Świnoujście - Cz. II dotycząca ubezpieczenia komunikacyjnego</t>
  </si>
  <si>
    <t>1.3.1.42</t>
  </si>
  <si>
    <t>Obsługa pracowniczej zakładowej kasy zapomogowo-pożyczkowej (75023)</t>
  </si>
  <si>
    <t>Urząd Miasta (WO)</t>
  </si>
  <si>
    <t>1.3.1.43</t>
  </si>
  <si>
    <t>Składki członkowskie Miasta w Stowarzyszeniu Lokalna Grupa Rybacka "Zalew Szczeciński" (75095)</t>
  </si>
  <si>
    <t>Urząd Miasta (WRG)</t>
  </si>
  <si>
    <t>1.3.1.44</t>
  </si>
  <si>
    <t>Składki członkowskie z tytułu przystąpienia Gminy Miasta Świnoujście do Celowego Związku Gmin R XXI (75095)</t>
  </si>
  <si>
    <t>Urząd Miasta (WOS)</t>
  </si>
  <si>
    <t>1.3.1.45</t>
  </si>
  <si>
    <t>Dzierżawa łączy światłowodowych wraz z konserwacją - usługa związana z budową i eksploatacją monitoringu w mieście (75495)</t>
  </si>
  <si>
    <t>1.3.1.46</t>
  </si>
  <si>
    <t>Obsługa długu - pożyczka w NFOŚiGW (75702)</t>
  </si>
  <si>
    <t>1.3.1.47</t>
  </si>
  <si>
    <t>Obsługa długu - obligacje 2009-2011 (W, C11-M11) (75702)</t>
  </si>
  <si>
    <t>1.3.1.48</t>
  </si>
  <si>
    <t>Obsługa długu - obligacje 2011 (N11-R11) (75702)</t>
  </si>
  <si>
    <t>1.3.1.49</t>
  </si>
  <si>
    <t>Obsługa długu - obligacje 2012 (A12-E12) (75702)</t>
  </si>
  <si>
    <t>1.3.1.50</t>
  </si>
  <si>
    <t>Obsługa długu - obligacje 2012 (F12-K12) (75702)</t>
  </si>
  <si>
    <t>1.3.1.51</t>
  </si>
  <si>
    <t>Obsługa długu - odsetki od pożyczki z funduszu JESSICA (75702)</t>
  </si>
  <si>
    <t>1.3.1.52</t>
  </si>
  <si>
    <t>Umowa na dowóz dzieci niepełnosprawnych, z miejsca zamieszkania do szkół i z powrotem, na terenie m. Świnoujście (OREW) (80113)</t>
  </si>
  <si>
    <t>1.3.1.53</t>
  </si>
  <si>
    <t>Umowa na dowóz dzieci niepełnosprawnych, z miejsca zamieszkania do szkół i z powrotem, poza granicami m. Świnoujście - um. Nr 8 (80113)</t>
  </si>
  <si>
    <t>1.3.1.54</t>
  </si>
  <si>
    <t>Stan środków obrotowych netto na początek okresu sprawozdawczego</t>
  </si>
  <si>
    <t>Stan środków obrotowych netto na koniec okresu sprawozdawczego</t>
  </si>
  <si>
    <t>Wydatki
bieżące
(6+7+8+9+10)</t>
  </si>
  <si>
    <t>wg Rekordu</t>
  </si>
  <si>
    <t>tyle wpłynęło dotacji</t>
  </si>
  <si>
    <t>Dotacje celowe w ramach programów finansowanych z udziałem środków europejskich oraz środków, o których mowa w art. 5 ust. 1 pkt 3 oraz ust. 3 pkt 5 i 6 ustawy, lub płatności w ramach budżetu środków europejskich</t>
  </si>
  <si>
    <t>Zakup eksponatów muzealnych</t>
  </si>
  <si>
    <t>4.4</t>
  </si>
  <si>
    <t>4.5</t>
  </si>
  <si>
    <t>2a)</t>
  </si>
  <si>
    <t>3a)</t>
  </si>
  <si>
    <t>§ 962</t>
  </si>
  <si>
    <t>Pożyczki udzielone na finansowanie zadań realizowanych z udziałem środków pochodzących z budżetu Unii Europejskiej</t>
  </si>
  <si>
    <t>Udzielone pożyczki i kredyty</t>
  </si>
  <si>
    <t>§ 991</t>
  </si>
  <si>
    <t>Zespół Szkół Ogólnokształcących</t>
  </si>
  <si>
    <t>Centrum Edukacji Zawodowej i Turystyki</t>
  </si>
  <si>
    <t>Wydatki inwestycyjne samorządowych zakładów budżetowych</t>
  </si>
  <si>
    <t>4.12</t>
  </si>
  <si>
    <t>4.6</t>
  </si>
  <si>
    <t>4.7</t>
  </si>
  <si>
    <t>4.8</t>
  </si>
  <si>
    <t>4.9</t>
  </si>
  <si>
    <t>5.1</t>
  </si>
  <si>
    <t>5.2</t>
  </si>
  <si>
    <t>Odsetki za nieterminowe rozliczenia, płacone przez urzędy obsługujące organy podatkowe</t>
  </si>
  <si>
    <t>Wykup innych papierów wartościowych</t>
  </si>
  <si>
    <t>Dotacje
ogółem</t>
  </si>
  <si>
    <t>Wydatki
majątkowe</t>
  </si>
  <si>
    <t>85220</t>
  </si>
  <si>
    <t>Jednostki specjalistycznego poradnictwa, mieszkania chronione i ośrodki interwencji kryzysowej</t>
  </si>
  <si>
    <t>gmina</t>
  </si>
  <si>
    <t>powiat</t>
  </si>
  <si>
    <t>Ogółem (gmina + powiat)</t>
  </si>
  <si>
    <t xml:space="preserve">Ogółem </t>
  </si>
  <si>
    <t>Uzupełnienie subwencji ogólnej dla jednostek samorządu terytorialnego</t>
  </si>
  <si>
    <t>2750</t>
  </si>
  <si>
    <t>Gimnazjum Fundacji LOGOS</t>
  </si>
  <si>
    <t>Zadania w zakresie pomocy społecznej</t>
  </si>
  <si>
    <t>Zużycie energii</t>
  </si>
  <si>
    <t>Składki na ubezpieczenia społeczne i Fundusz Pracy</t>
  </si>
  <si>
    <t>Pozostałe przychody finansowe i operacyjne</t>
  </si>
  <si>
    <t>RAZEM DOTACJE Z BUDŻETU MIASTA</t>
  </si>
  <si>
    <t>Prowadzenie edukacji profilaktycznej z zakresu AIDS i HIV adresowanych do uczniów placówek oświatowych</t>
  </si>
  <si>
    <t>Niepubliczne Przedszkole Specjalne "Jeżyk"</t>
  </si>
  <si>
    <t>Niepubliczne Dwuletnie Uzupełniające Liceum Ogólnokształcące dla Dorosłych im. św. Jadwigi Królowej</t>
  </si>
  <si>
    <t xml:space="preserve">Publiczna Zasadnicza Szkoła Zawodowa w Świnoujściu Wojewódzkiego Zakładu Doskonalenia Zawodowego w Szczecinie </t>
  </si>
  <si>
    <t>sprawozdanie Rb 27 doch majątkowe</t>
  </si>
  <si>
    <t>zakup i objęcie akcji lub udziałów oraz wniesienie wkładów do spółek prawa handlowego</t>
  </si>
  <si>
    <t>wydatki jednostek budżetowych
w tym:</t>
  </si>
  <si>
    <t>inwestycje i zakupy inwestycyjne
w tym:</t>
  </si>
  <si>
    <t>pozostałe zakupy inwestycyjne</t>
  </si>
  <si>
    <t xml:space="preserve">Programy polityki zdrowotnej </t>
  </si>
  <si>
    <t>85152</t>
  </si>
  <si>
    <t>Zapobieganie i zwalczanie AIDS</t>
  </si>
  <si>
    <t>85153</t>
  </si>
  <si>
    <t>Zwalczanie narkomanii</t>
  </si>
  <si>
    <t>85195</t>
  </si>
  <si>
    <t xml:space="preserve">POMOC SPOŁECZNA </t>
  </si>
  <si>
    <t>Placówki opiekuńczo - wychowawcze</t>
  </si>
  <si>
    <t>85202</t>
  </si>
  <si>
    <t>Domy pomocy społecznej</t>
  </si>
  <si>
    <t>85204</t>
  </si>
  <si>
    <t>Rodziny zastępcze</t>
  </si>
  <si>
    <t>85218</t>
  </si>
  <si>
    <t>Powiatowe centra pomocy rodzinie</t>
  </si>
  <si>
    <t>Program wspierania rodziny</t>
  </si>
  <si>
    <t>§270, 629, 2460</t>
  </si>
  <si>
    <t>Mieszkam ładnie i bezpiecznie - renowacja budynków przy ul. Wyszyńskiego 2,7 i 8</t>
  </si>
  <si>
    <t>Dotacja celowa otrzymana z tytułu pomocy finansowej udzielanej między jednostkami samorządu tereytorialnego na dofinansowanie własnych zadań inwestycyjnych i zakupów inwestycyjnych</t>
  </si>
  <si>
    <t>Rewaloryzacja zabytkowego Parku Zdrojowego w Świnoujściu</t>
  </si>
  <si>
    <t>Dotacja celowa inwestycyjna z Urzędu Marszałkowskiego</t>
  </si>
  <si>
    <t>- bieżąca</t>
  </si>
  <si>
    <t>- majątkowa</t>
  </si>
  <si>
    <t>Dotacja z Ministerstwa Kultury i Dziedzictwa Narodowego</t>
  </si>
  <si>
    <t>- celowa</t>
  </si>
  <si>
    <t>92120</t>
  </si>
  <si>
    <t>Ochrona zabytków i opieka nad zabytkami</t>
  </si>
  <si>
    <t xml:space="preserve">    - podatki zniesione</t>
  </si>
  <si>
    <t>Gimnazjum dla Dorosłych Wojewódzkiego Zakładu Doskonalenia Zawodowego</t>
  </si>
  <si>
    <t>Przedszkole Miejskie nr 1</t>
  </si>
  <si>
    <t>Przedszkole Miejskie nr 3</t>
  </si>
  <si>
    <t>Przedszkole Miejskie nr 5</t>
  </si>
  <si>
    <t>Przedszkole Miejskie nr 9</t>
  </si>
  <si>
    <t>Przedszkole Miejskie nr 10</t>
  </si>
  <si>
    <t>Przedszkole Miejskie nr 11</t>
  </si>
  <si>
    <t>SP ZOZ Szpital Miejski im. Jana Garduły</t>
  </si>
  <si>
    <t>§ 950</t>
  </si>
  <si>
    <t>Wolne środki, o których mowa w art. 217 ust 2 pkt 6 ustawy</t>
  </si>
  <si>
    <t>Realizacja działań z zakresu zapobiegania  i przeciwdziałania narkomanii adresowane do mieszkańców Świnoujścia</t>
  </si>
  <si>
    <t>Zadania w zakresie zapobiegania i przeciwdziałania alkoholizmowi</t>
  </si>
  <si>
    <t>Opieka nad osobami chorymi onkologicznie i ich rodzinami</t>
  </si>
  <si>
    <t>Utrzymanie dzieci umieszczonych w placówkach opiekuńczo-wychowawczych</t>
  </si>
  <si>
    <t>Utrzymanie dzieci umieszczonych w rodzinach zastępczych</t>
  </si>
  <si>
    <t>plan</t>
  </si>
  <si>
    <t>GMINA (bieżące)</t>
  </si>
  <si>
    <t>GMINA (majątkowe)</t>
  </si>
  <si>
    <t>Zagospodarowanie Basenu Północnego w Świnoujściu na port jachtowy</t>
  </si>
  <si>
    <t>POWIAT (bieżące)</t>
  </si>
  <si>
    <t>POWIAT (majątkowe)</t>
  </si>
  <si>
    <t>Środki na dofinansowanie własnych inwestycji gmin (związków gmin), powiatów (związków powiatów), samorządów województw, pozyskane z innych źródeł</t>
  </si>
  <si>
    <t>Finansowanie programów i projektów ze środków funduszy strukturalnych, Funduszu Spójności, Europejskiego Funduszu Rybackiego oraz z funduszy unijnych finansujących Wspólną Politykę Rolną, z wyłączeniem budżetu środków europejskich</t>
  </si>
  <si>
    <t>Wpłaty z tytułu odpłatnego nabycia prawa własności oraz prawa użytkowania wieczystego nieruchomości</t>
  </si>
  <si>
    <t>Stan środków pieniężnych na początek okresu sprawozdawczego</t>
  </si>
  <si>
    <t>Stan środków pieniężnych na koniec okresu sprawozdawczego</t>
  </si>
  <si>
    <t>Specjalny Ośrodek Szkolno-Wychowawczy</t>
  </si>
  <si>
    <t>Poradnia Psychologiczno-Pedagogiczna</t>
  </si>
  <si>
    <t>Młodzieżowy Dom Kultury</t>
  </si>
  <si>
    <t xml:space="preserve">% </t>
  </si>
  <si>
    <t>I.</t>
  </si>
  <si>
    <t>II.</t>
  </si>
  <si>
    <t>Wpływy z usług</t>
  </si>
  <si>
    <t>2650</t>
  </si>
  <si>
    <t>pokrycie amortyzacji</t>
  </si>
  <si>
    <t>RAZEM I+II</t>
  </si>
  <si>
    <t>Wpływy ze zwrotów dotacji oraz płatności, w tym wykorzystanych niezgodnie z przeznaczeniem lub wykorzystanych z naruszeniem procedur, o których mowa w art. 184 ustawy, pobranych nienależnie lub w nadmiernej wysokości</t>
  </si>
  <si>
    <t>III.</t>
  </si>
  <si>
    <t>Koszty i inne obciążenia ogółem</t>
  </si>
  <si>
    <t>Wydatki osobowe niezaliczone do wynagrodzeń</t>
  </si>
  <si>
    <t>Wynagrodzenia osobowe pracowników</t>
  </si>
  <si>
    <t>Dodatkowe wynagrodzenie roczne</t>
  </si>
  <si>
    <t>OGÓŁEM</t>
  </si>
  <si>
    <t>PLAN</t>
  </si>
  <si>
    <t>WYKONANIE</t>
  </si>
  <si>
    <t>Gmina</t>
  </si>
  <si>
    <t>Powiat</t>
  </si>
  <si>
    <t>pozostałe świadczenia (w tym: szkolenia, ekwiwalenty za odzież, badania okresowe)</t>
  </si>
  <si>
    <t>PODATKI I OPŁATY</t>
  </si>
  <si>
    <t>8.1</t>
  </si>
  <si>
    <t>podatek od nieruchomości</t>
  </si>
  <si>
    <t>8.2</t>
  </si>
  <si>
    <t>8.3</t>
  </si>
  <si>
    <t>pozostałe podatki i opłaty</t>
  </si>
  <si>
    <t>PODRÓŻE SŁUŻBOWE KRAJOWE</t>
  </si>
  <si>
    <t>POZOSTAŁE KOSZTY  RODZAJOWE - UBEZPIECZENIA</t>
  </si>
  <si>
    <t>OGÓŁEM NAKŁADY</t>
  </si>
  <si>
    <t>SPRZEDAŻ USŁUG</t>
  </si>
  <si>
    <t>13.1</t>
  </si>
  <si>
    <t>kontrakt z NFZ - lecznictwo szpitalne + świadczenia UE</t>
  </si>
  <si>
    <t>13.2</t>
  </si>
  <si>
    <t>kontrakt z NFZ - specjalistyka (poradnie, świadczenia ambulatoryjne)</t>
  </si>
  <si>
    <t>13.3</t>
  </si>
  <si>
    <t>kontrakt z NFZ - opieka psychiatryczna i leczenie uzależnień</t>
  </si>
  <si>
    <t>13.4</t>
  </si>
  <si>
    <t>kontrakt z NFZ - POZ</t>
  </si>
  <si>
    <t>13.5</t>
  </si>
  <si>
    <t>świadczenia medyczne udzielone nieubezpieczonym w NFZ</t>
  </si>
  <si>
    <t>13.6</t>
  </si>
  <si>
    <t>świadczenia finansowane z budżetu Miasta dotyczące terapii uzależnień od alkoholu i narkotyków oraz Program terapeutyczno-rehabilitacyjny dla osób z afazją i dyartrią oraz prowadzenie wsparcia dla rodzin i opiekunów</t>
  </si>
  <si>
    <t>13.7</t>
  </si>
  <si>
    <t>świadczenia ponad limit umowy z NFZ - niezapłacone</t>
  </si>
  <si>
    <t>przychody z pozostałej działalności</t>
  </si>
  <si>
    <t>PRZYCHODY FINANSOWE</t>
  </si>
  <si>
    <t>POZOSTAŁE PRZYCHODY OPERACYJNE</t>
  </si>
  <si>
    <t>15.1</t>
  </si>
  <si>
    <t>dotacje z budżetu Miasta</t>
  </si>
  <si>
    <t>15.2</t>
  </si>
  <si>
    <t>środki Ministerstwa Zdrowia na finansowanie wynagrodzeń Lekarzy Rezydentów oraz z Urzędu Marszałkowskiego Województwa Zachodniopomorskiego na realizację stażu podyplomowego lekarzy</t>
  </si>
  <si>
    <t>15.3</t>
  </si>
  <si>
    <t>pozostałe przychody</t>
  </si>
  <si>
    <t>KOSZTY FINANSOWE</t>
  </si>
  <si>
    <t>POZOSTAŁE KOSZTY OPERACYJNE</t>
  </si>
  <si>
    <t>ZYSKI NADZWYCZAJNE</t>
  </si>
  <si>
    <t>STRATY NADZWYCZAJNE</t>
  </si>
  <si>
    <t>KOSZTY OGÓŁEM</t>
  </si>
  <si>
    <t>PRZYCHODY OGÓŁEM</t>
  </si>
  <si>
    <t>ZMIANA STANU PRODUKTÓW</t>
  </si>
  <si>
    <t>ZYSK/STRATA NETTO</t>
  </si>
  <si>
    <t>Tabela 25</t>
  </si>
  <si>
    <t xml:space="preserve"> SAMODZIELNY PUBLICZNY ZAKŁAD OPIEKI ZDROWOTNEJ ZAKŁAD
 PIELĘGNACYJNO-OPIEKUŃCZY</t>
  </si>
  <si>
    <t>leki</t>
  </si>
  <si>
    <t>pieluchomajtki</t>
  </si>
  <si>
    <t xml:space="preserve">środki czystości </t>
  </si>
  <si>
    <t>pozostałe</t>
  </si>
  <si>
    <t>gaz</t>
  </si>
  <si>
    <t>analizy i badania</t>
  </si>
  <si>
    <t>usługi gastronomiczne (wyżywienie pacjentów)</t>
  </si>
  <si>
    <t>konserwacja i naprawa sprzętu, serwis kotłowni</t>
  </si>
  <si>
    <t>usługi lekarskie i porady</t>
  </si>
  <si>
    <t>usługi transportowe</t>
  </si>
  <si>
    <t>usługi pielęgniarskie</t>
  </si>
  <si>
    <t>pozostałe usługi obce, w tym medyczne</t>
  </si>
  <si>
    <t>usługi remontowe</t>
  </si>
  <si>
    <t>wynagrodzeni z tyt. umów o pracę</t>
  </si>
  <si>
    <t>gratyfikacje/nagrody jubileuszowe</t>
  </si>
  <si>
    <t>umowy zlecenia</t>
  </si>
  <si>
    <t>pozostałe opłaty i podatki</t>
  </si>
  <si>
    <t>OPŁATY BANKOWE</t>
  </si>
  <si>
    <t>PODRÓŻE SŁUŻBOWE</t>
  </si>
  <si>
    <t>POZOSTAŁE KOSZTY PROSTE (ubezp. O.C.)</t>
  </si>
  <si>
    <t>OGÓŁEM NAKŁADY KOSZTY</t>
  </si>
  <si>
    <t>kontrakt z NFZ</t>
  </si>
  <si>
    <t>dzierżawa, media, wypożyczenie sprzętu medycznego</t>
  </si>
  <si>
    <t>opłaty pacjentów</t>
  </si>
  <si>
    <t>PRZYCHODY OPERACYJNE</t>
  </si>
  <si>
    <t>17.1</t>
  </si>
  <si>
    <t>dotacje - Urząd Miasta</t>
  </si>
  <si>
    <t>17.2</t>
  </si>
  <si>
    <t>85395          i 85214</t>
  </si>
  <si>
    <t>Zadania ratownictwa górskiego i wodnego</t>
  </si>
  <si>
    <t>3. Dotacje celowe na zadania własne i zlecone miasta realizowane przez podmioty należące i nienależące do sektora finansów publicznych (§2320 - inne jst,  §2360 - organizacje prowadzące działalność pożytku publicznego, §2800 - dla pozostałych jednostek zaliczanych do sektora finansów publicznych,§2830 - dla pozostałych jednostek niezaliczanych do sektora finansów publicznych)</t>
  </si>
  <si>
    <t>Koszty postępowania sądowego i prokuratorskiego</t>
  </si>
  <si>
    <t xml:space="preserve">    - od nieterminowego regulowania należności, stanowiących dochody Miasta i inne</t>
  </si>
  <si>
    <t>Indywidualizacja procesów nauczania i wychowania w klasach I-III w Gminie Miasto Świnoujście</t>
  </si>
  <si>
    <t>INWESTYCJE KOMUNALNE FINANSOWANE Z BUDŻETU MIASTA
(bez pozostałych wydatków majątkowych)</t>
  </si>
  <si>
    <t>Organizacja edukacji ekologicznej</t>
  </si>
  <si>
    <t>Samodzielny Publiczny Zakład Opieki Zdrowotnej Zakład Pielęgnacyjno-Opiekuńczy</t>
  </si>
  <si>
    <t xml:space="preserve">  d) wyrównawcza</t>
  </si>
  <si>
    <t xml:space="preserve">      - środki na utrzymanie przepraw promowych</t>
  </si>
  <si>
    <t xml:space="preserve">      - na inwestycje</t>
  </si>
  <si>
    <t>Tabela nr 6</t>
  </si>
  <si>
    <t xml:space="preserve">Tabela nr 13 </t>
  </si>
  <si>
    <t>Tabela nr 17</t>
  </si>
  <si>
    <t>75075</t>
  </si>
  <si>
    <t>DOCHODY I WYDATKI GROMADZONE NA WYDZIELONYCH RACHUNKACH JEDNOSTEK OŚWIATOWYCH</t>
  </si>
  <si>
    <t>Promocja jednostek samorządu terytorialnego</t>
  </si>
  <si>
    <t>0560</t>
  </si>
  <si>
    <t xml:space="preserve">DOTACJE Z BUDŻETU MIASTA </t>
  </si>
  <si>
    <t>6423</t>
  </si>
  <si>
    <t>6299</t>
  </si>
  <si>
    <t>RAZEM (GMINA+POWIAT)</t>
  </si>
  <si>
    <t>Szkoła Podstawowa nr 1</t>
  </si>
  <si>
    <t>Szkoła Podstawowa nr 2</t>
  </si>
  <si>
    <t>Szkoła Podstawowa nr 6</t>
  </si>
  <si>
    <t>%
wyk.</t>
  </si>
  <si>
    <t xml:space="preserve">    - produktowa</t>
  </si>
  <si>
    <t>Gimnazjum Publiczne nr 2</t>
  </si>
  <si>
    <t>Gimnazjum Publiczne nr 3</t>
  </si>
  <si>
    <t>Internat Zespołu Szkół Morskich</t>
  </si>
  <si>
    <t>Zespół Szkół Morskich</t>
  </si>
  <si>
    <t>Dochody własne</t>
  </si>
  <si>
    <t>Pozostałe usługi</t>
  </si>
  <si>
    <t>inne zwiększenia</t>
  </si>
  <si>
    <t>Cmentarze</t>
  </si>
  <si>
    <t>750</t>
  </si>
  <si>
    <t>ADMINISTRACJA PUBLICZNA</t>
  </si>
  <si>
    <t>75011</t>
  </si>
  <si>
    <t>WYDATKI GMINY</t>
  </si>
  <si>
    <t>GMINA</t>
  </si>
  <si>
    <t>WYDATKI POWIATU</t>
  </si>
  <si>
    <t>Środki na dofinansowanie własnych inwestycji  gmin (związków gmin), powiatów (związków powiatów), samorządów województw, pozyskane z innych źródeł</t>
  </si>
  <si>
    <t>60011</t>
  </si>
  <si>
    <t>Urzędy wojewódzkie</t>
  </si>
  <si>
    <t>75020</t>
  </si>
  <si>
    <t>Utworzenie Pracowni Badań Tomografii Komputerowej w Szpitalu Miejskim w Świnoujściu</t>
  </si>
  <si>
    <t>Zagospodarowanie terenów rekreacyjno-wypoczynkowych przy ul. Malczewskiego</t>
  </si>
  <si>
    <t>niewygasy</t>
  </si>
  <si>
    <t>powinno być</t>
  </si>
  <si>
    <t>to sa niewygasy ale wydatki bieżące</t>
  </si>
  <si>
    <t>RAZEM WG REKORDU</t>
  </si>
  <si>
    <t>w tym wydatki niewygasające</t>
  </si>
  <si>
    <t>Wpływy ze sprzedaży wyrobów</t>
  </si>
  <si>
    <t>Dotacje otrzymane z państwowych funduszy celowych na finansowanie lub dofinansowanie kosztów realizacji inwestycji i zakupów inwestycyjnych jednostek sektora finansów publicznych</t>
  </si>
  <si>
    <t>71095</t>
  </si>
  <si>
    <t>6410</t>
  </si>
  <si>
    <t>plan wg Rb</t>
  </si>
  <si>
    <t xml:space="preserve"> przychody wg sprawozdania Rb</t>
  </si>
  <si>
    <t>wg wydruku</t>
  </si>
  <si>
    <t>wg wydruku plan</t>
  </si>
  <si>
    <t>wg wydruku wykonanie</t>
  </si>
  <si>
    <t>tyle wydaliśmy</t>
  </si>
  <si>
    <t>bo oznaczałoby to, że dotacja wpłynęła w niższej kwocie</t>
  </si>
  <si>
    <t>NIE MOŻE BYĆ MINUS</t>
  </si>
  <si>
    <t>MAJĄTKOWE TEŻ DZIELIMY</t>
  </si>
  <si>
    <t>Wpływy ze sprzedaży składników majątkowych</t>
  </si>
  <si>
    <t>0870</t>
  </si>
  <si>
    <t xml:space="preserve">    - grzywny, mandaty i inne kary pieniężne</t>
  </si>
  <si>
    <t>75616</t>
  </si>
  <si>
    <t>Wpływy z podatku rolnego, podatku leśnego, podatku od spadków i darowizn, podatku od czynności cywilnoprawnych oraz podatków i opłat lokalnych od osób fizycznych</t>
  </si>
  <si>
    <t>2320</t>
  </si>
  <si>
    <t>Dotacje celowe otrzymane z powiatu na zadania bieżące realizowane na podstawie porozumień (umów) między jednostkami samorządu terytorialnego</t>
  </si>
  <si>
    <t>2888</t>
  </si>
  <si>
    <t>2889</t>
  </si>
  <si>
    <t>Dotacja celowa otrzymana przez jednostkę samorządu terytorialnego od innej jednostki samorządu terytorialnego będącej instytucją wdrażającą na zadania bieżące realizowane na podstawie porozumień (umów)</t>
  </si>
  <si>
    <t>w tym:</t>
  </si>
  <si>
    <t>Oświetlenie ulic (wg uzgodnień)</t>
  </si>
  <si>
    <t>Rozbudowa i modernizacja sieci deszczowych</t>
  </si>
  <si>
    <t>Zadania w zakresie administracji publicznej</t>
  </si>
  <si>
    <t>0830</t>
  </si>
  <si>
    <t>0920</t>
  </si>
  <si>
    <t>0970</t>
  </si>
  <si>
    <t>0570</t>
  </si>
  <si>
    <t>0690</t>
  </si>
  <si>
    <t>0750</t>
  </si>
  <si>
    <t>55097</t>
  </si>
  <si>
    <t>Gospodarstwa pomocnicze</t>
  </si>
  <si>
    <t>2380</t>
  </si>
  <si>
    <t>0470</t>
  </si>
  <si>
    <t>0490</t>
  </si>
  <si>
    <t>0760</t>
  </si>
  <si>
    <t>0770</t>
  </si>
  <si>
    <t>0350</t>
  </si>
  <si>
    <t>0910</t>
  </si>
  <si>
    <t>0310</t>
  </si>
  <si>
    <t>0320</t>
  </si>
  <si>
    <t>0330</t>
  </si>
  <si>
    <t>krew i produkty krwiopochodne</t>
  </si>
  <si>
    <t>2.9</t>
  </si>
  <si>
    <t>płyty CD (materiały do RTG i USG)</t>
  </si>
  <si>
    <t>2.10</t>
  </si>
  <si>
    <t>WYDATKI  KTÓRE NIE WYGASŁY Z UPŁYWEM ROKU BUDŻETOWEGO 2012</t>
  </si>
  <si>
    <t>Przebudowa siłowni okrętowej promu Karsibór II</t>
  </si>
  <si>
    <t>Budowa centralnego układu komunikacyjnego śródmieście w Świnoujściu</t>
  </si>
  <si>
    <t>Projekt zintegrowany Śródmieście – Przebudowa Parku przy ul. Chopina</t>
  </si>
  <si>
    <t>Zagospodarowanie terenów rekreacyjno – wypoczynkowych przy ul. Malczewskiego</t>
  </si>
  <si>
    <t>Aktualizacja projektu założeń do planu zaopatrzenia w ciepło, energię elektryczną i paliwa gazowe</t>
  </si>
  <si>
    <t>07.01.2013 r.</t>
  </si>
  <si>
    <t>6/2013</t>
  </si>
  <si>
    <t>17.01.2013 r.</t>
  </si>
  <si>
    <t>XXXIV/271/2013</t>
  </si>
  <si>
    <t>28.02.2013 r.</t>
  </si>
  <si>
    <t>65/2013</t>
  </si>
  <si>
    <t>134/2013</t>
  </si>
  <si>
    <t>135/2013</t>
  </si>
  <si>
    <t>12.03.2013 r.</t>
  </si>
  <si>
    <t>165/2013</t>
  </si>
  <si>
    <t>28.03.2013 r.</t>
  </si>
  <si>
    <t>XXXVI/293/2013</t>
  </si>
  <si>
    <t>29.03.2013 r.</t>
  </si>
  <si>
    <t>204/2013</t>
  </si>
  <si>
    <t>205/2013</t>
  </si>
  <si>
    <t>12.04.2013 r.</t>
  </si>
  <si>
    <t>239/2013</t>
  </si>
  <si>
    <t>26.04.2013 r.</t>
  </si>
  <si>
    <t>274/2013</t>
  </si>
  <si>
    <t>276/2013</t>
  </si>
  <si>
    <t>14.05.2013 r.</t>
  </si>
  <si>
    <t>297/2013</t>
  </si>
  <si>
    <t>23.05.2013 r.</t>
  </si>
  <si>
    <t>XXXVIII/314/2013</t>
  </si>
  <si>
    <t>31.05.2013 r.</t>
  </si>
  <si>
    <t>353/2013</t>
  </si>
  <si>
    <t>354/2013</t>
  </si>
  <si>
    <t>17.06.2013 r.</t>
  </si>
  <si>
    <t>387/2013</t>
  </si>
  <si>
    <t>25.06.2013 r.</t>
  </si>
  <si>
    <t>411/2013</t>
  </si>
  <si>
    <t>27.06.2013 r.</t>
  </si>
  <si>
    <t>XL/323/2013</t>
  </si>
  <si>
    <t>28.06.2013 r.</t>
  </si>
  <si>
    <t>419/2013</t>
  </si>
  <si>
    <t>420/2013</t>
  </si>
  <si>
    <t>09.07.2013 r.</t>
  </si>
  <si>
    <t>439/2013</t>
  </si>
  <si>
    <t>24.07.2013 r.</t>
  </si>
  <si>
    <t>472/2013</t>
  </si>
  <si>
    <t>29.07.2013 r.</t>
  </si>
  <si>
    <t>475/2013</t>
  </si>
  <si>
    <t>31.07.2013 r.</t>
  </si>
  <si>
    <t>482/2013</t>
  </si>
  <si>
    <t>21.08.2013 r.</t>
  </si>
  <si>
    <t>531/2013</t>
  </si>
  <si>
    <t>26.08.2013 r.</t>
  </si>
  <si>
    <t>532/2013</t>
  </si>
  <si>
    <t>30.08.2013 r.</t>
  </si>
  <si>
    <t>541/2013</t>
  </si>
  <si>
    <t>542/2013</t>
  </si>
  <si>
    <t>17.09.2013 r.</t>
  </si>
  <si>
    <t>576/2013</t>
  </si>
  <si>
    <t>19.09.2013 r.</t>
  </si>
  <si>
    <t>XLII/342/2013</t>
  </si>
  <si>
    <t>25.09.2013 r.</t>
  </si>
  <si>
    <t>596/2013</t>
  </si>
  <si>
    <t>30.09.2013 r.</t>
  </si>
  <si>
    <t>605/2013</t>
  </si>
  <si>
    <t>608/2013</t>
  </si>
  <si>
    <t>633/2013</t>
  </si>
  <si>
    <t>24.10.2013 r.</t>
  </si>
  <si>
    <t>§290</t>
  </si>
  <si>
    <t>2040</t>
  </si>
  <si>
    <t>Dotacje celowe otrzymane z budżetu panstwa na realizację zadań bieżących gmin z zakresu edukacyjnej opieki wychowawczej finansowanych w całości przez budżet państwa w ramach programów rządowych</t>
  </si>
  <si>
    <t>2460</t>
  </si>
  <si>
    <t>Środki otrzymane od pozostałych jednostek zaliczanych do sektora finansów publicznych na realizację zadań bieżących jednostek zaliczanych do sektora finansów publicznych</t>
  </si>
  <si>
    <t>Dotacja celowa otrzymana z tytułu pomocy finansowej udzielanej między jednostkami samorządu terytorialnego na dofinansowanie własnych zadań inwestycyjnych i zakupów inwestycyjnych</t>
  </si>
  <si>
    <t>razem w rozdziale</t>
  </si>
  <si>
    <t>gmina bieżące i majątkowe z wydruku Rekord</t>
  </si>
  <si>
    <t>dopłata do utrzymania 1m2 powierzchni wykorzystywanych obiektów sportowych, budowli i terenów rekreacyjnych :                                                        - terenów rekreacyjnych - plaża                                                                                                                                                                                   - terenów rekreacyjnych - Basen Północny
- hali sportowej
- pływalni
- obiektów sportowych
- centrum sportu
- kortów, hali tenisowej</t>
  </si>
  <si>
    <t>4.31</t>
  </si>
  <si>
    <t>program zdrowia psychicznego - kontrakty</t>
  </si>
  <si>
    <t>materiały medyczne (w tym pieluchomajtki)</t>
  </si>
  <si>
    <t>Dotacje celowe otrzymane z budżetu państwa na zadania bieżące z zakresu administracji rządowej oraz inne zadania zlecone ustawami realizowane przez powiat</t>
  </si>
  <si>
    <t>HOTELE I RESTAURACJE</t>
  </si>
  <si>
    <t>Prace geodezyjne i kartograficzne (nieinwestycyjne)</t>
  </si>
  <si>
    <t>dotacje z funduszy celowych</t>
  </si>
  <si>
    <t>Finansowanie programów ześrodków bezzwrotnych pochodzących z Unii Europejskiej</t>
  </si>
  <si>
    <t>Dotacje otrzymane z państwowych funduszy celowych na realizację zadań bieżących jednostek sektora finansów publicznych</t>
  </si>
  <si>
    <t>2001</t>
  </si>
  <si>
    <t>Wplywy z róznych dochodów</t>
  </si>
  <si>
    <t>POZOSTAŁE ZADANIA W ZAKRESIE POLITYKI SPOŁECZNEJ</t>
  </si>
  <si>
    <t>Żłobki</t>
  </si>
  <si>
    <t>85333</t>
  </si>
  <si>
    <t>Powiatowe urzędy pracy</t>
  </si>
  <si>
    <t>85395</t>
  </si>
  <si>
    <t>85401</t>
  </si>
  <si>
    <t>Świetlice szkolne</t>
  </si>
  <si>
    <t>§ 902</t>
  </si>
  <si>
    <t>Przychody ze spłat pożyczek udzielonych na finansowanie zadań realizowanych z udziałem środków pochodzących z budżetu Unii Europejskiej</t>
  </si>
  <si>
    <t>Przychody ze spłat pożyczek i kredytów udzielonych ze środków publicznych</t>
  </si>
  <si>
    <t>§ 951</t>
  </si>
  <si>
    <t>55095</t>
  </si>
  <si>
    <t>Dotacje celowe otrzymane z budżetu panstwa na zadania bieżące realizowane przez gminę na podstawie porozumień z organami administracji rządowej</t>
  </si>
  <si>
    <t>2900</t>
  </si>
  <si>
    <t>§092</t>
  </si>
  <si>
    <t>§090, 091, 092</t>
  </si>
  <si>
    <t>§001</t>
  </si>
  <si>
    <t>§002</t>
  </si>
  <si>
    <t>§031</t>
  </si>
  <si>
    <t>§032</t>
  </si>
  <si>
    <t>§033</t>
  </si>
  <si>
    <t>§034</t>
  </si>
  <si>
    <t>§035</t>
  </si>
  <si>
    <t>§036</t>
  </si>
  <si>
    <t>§037</t>
  </si>
  <si>
    <t>§039</t>
  </si>
  <si>
    <t>§040</t>
  </si>
  <si>
    <t>§041</t>
  </si>
  <si>
    <t>§042</t>
  </si>
  <si>
    <t>§043</t>
  </si>
  <si>
    <t>§046</t>
  </si>
  <si>
    <t>§048</t>
  </si>
  <si>
    <t>§050</t>
  </si>
  <si>
    <t>§056</t>
  </si>
  <si>
    <t>§059</t>
  </si>
  <si>
    <t>§ 268, 069</t>
  </si>
  <si>
    <t>§049</t>
  </si>
  <si>
    <t>§047,075,076,077,087</t>
  </si>
  <si>
    <t xml:space="preserve">   - nadwyżka środków obrotowychwpłacona przez zakład budżetowy</t>
  </si>
  <si>
    <t>§240</t>
  </si>
  <si>
    <t>§291</t>
  </si>
  <si>
    <t>§269</t>
  </si>
  <si>
    <t>§083</t>
  </si>
  <si>
    <t>§057, 058</t>
  </si>
  <si>
    <t>75421</t>
  </si>
  <si>
    <t xml:space="preserve"> Zarządzanie kryzysowe</t>
  </si>
  <si>
    <t>Zadania w zakresie ratownictwa wodnego</t>
  </si>
  <si>
    <t>z wydruku:</t>
  </si>
  <si>
    <t>Pobyt dzieci w niepublicznym żłobku</t>
  </si>
  <si>
    <t>§283</t>
  </si>
  <si>
    <t>§280 
i 236</t>
  </si>
  <si>
    <t>§255</t>
  </si>
  <si>
    <t>wg REKORDU gmina łącznie</t>
  </si>
  <si>
    <t>wg Rb 50</t>
  </si>
  <si>
    <t>wykonanie doch</t>
  </si>
  <si>
    <t>wyk.wyd</t>
  </si>
  <si>
    <t>zlecone i por</t>
  </si>
  <si>
    <t>SUMA</t>
  </si>
  <si>
    <t>1 + 2</t>
  </si>
  <si>
    <t>Różnica
 (5-8)</t>
  </si>
  <si>
    <t>0890</t>
  </si>
  <si>
    <t>Dotacje celowe otrzymane z budżetu państwa na 
realizację bieżących zadań własnych powiatu</t>
  </si>
  <si>
    <t>Wpływy z różnych opłat</t>
  </si>
  <si>
    <t>DOCHODY GMINY</t>
  </si>
  <si>
    <t>DOCHODY POWIATU</t>
  </si>
  <si>
    <t>Wpływy z różnych dochodów</t>
  </si>
  <si>
    <t>Pozostałe odsetki</t>
  </si>
  <si>
    <t>80103</t>
  </si>
  <si>
    <t>Oddziały przedszkolne w szkołach podstawowych</t>
  </si>
  <si>
    <t>Wpływy z tytułu przekształcenia prawa użytkowania wieczystego przysługującego osobom fizycznym w prawo własności</t>
  </si>
  <si>
    <t>Wpływy z opłaty komunikacyjnej</t>
  </si>
  <si>
    <t>Dotacje celowe otrzymane z budżetu państwa na zadania bieżące realizowane przez powiat na podstawie porozumień z organami administracji rządowej</t>
  </si>
  <si>
    <t>75101</t>
  </si>
  <si>
    <t xml:space="preserve">Urzędy naczelnych organów władzy państwowej, kontroli i ochrony prawa </t>
  </si>
  <si>
    <t>75601</t>
  </si>
  <si>
    <t>Wpływy z podatku dochodowego od osób fizycznych</t>
  </si>
  <si>
    <t>Podatek od nieruchomości</t>
  </si>
  <si>
    <t>Podatek rolny</t>
  </si>
  <si>
    <t>Podatek leśny</t>
  </si>
  <si>
    <t>Podatek od środków transportowych</t>
  </si>
  <si>
    <t>Podatek od czynności cywilnoprawnych</t>
  </si>
  <si>
    <t>Podatek od spadków i darowizn</t>
  </si>
  <si>
    <t>Wpływy z opłaty targowej</t>
  </si>
  <si>
    <t>75618</t>
  </si>
  <si>
    <t>DOCHODY I WYDATKI  WEDŁUG DZIAŁÓW KLASYFIKACJI BUDŻETOWEJ</t>
  </si>
  <si>
    <t xml:space="preserve"> DOCHODY  WEDŁUG DZIAŁÓW, ROZDZIAŁÓW I PARAGRAFÓW KLASYFIKACJI BUDŻETOWEJ</t>
  </si>
  <si>
    <t>DOCHODY WEDŁUG WAŻNIEJSZYCH ŹRÓDEŁ</t>
  </si>
  <si>
    <t>WYDATKI WEDŁUG DZIAŁÓW I ROZDZIAŁÓW KLASYFIKACJI  BUDŻETOWEJ</t>
  </si>
  <si>
    <t>23.</t>
  </si>
  <si>
    <t>24.</t>
  </si>
  <si>
    <t>25.</t>
  </si>
  <si>
    <t>26.</t>
  </si>
  <si>
    <t>Wpływy z opłaty skarbowej</t>
  </si>
  <si>
    <t>75621</t>
  </si>
  <si>
    <t>Udziały gmin w podatkach stanowiących dochód 
budżetu państwa</t>
  </si>
  <si>
    <t>2. Dotacje podmiotowe (§2480 - instytucje kultury, §2510 - zakłady budżetowe, § 2540 - niepubliczne jednostki oświatowe, §2560 - publiczne ZOZ, §2580 - jednostki nie zaliczane do fp, §2590 - publiczne jednostki oświatowe)</t>
  </si>
  <si>
    <t>Samodzielny Publiczny Zakład Opieki Zdrowotnej Szpital Miejski im. Jana Garduły</t>
  </si>
  <si>
    <t>Podatek dochodowy od osób fizycznych</t>
  </si>
  <si>
    <t>Środki na dofinansowanie własnych zadań bieżących gmin (związków gmin), powiatów (związków powiatów), samorządów województw, pozyskane z innych źródeł</t>
  </si>
  <si>
    <t>Środki z Funduszu Pracy otrzymane przez powiat z przeznaczeniem na finansowanie kosztów wynagrodzenia i składek na ubezpieczenia społeczne pracowników powiatowego urzędu pracy</t>
  </si>
  <si>
    <t>-</t>
  </si>
  <si>
    <t>Podatek dochodowy od osób prawnych</t>
  </si>
  <si>
    <t>75622</t>
  </si>
  <si>
    <t>75801</t>
  </si>
  <si>
    <t xml:space="preserve">    - inne lokalne opłaty</t>
  </si>
  <si>
    <t>Część oświatowa subwencji ogólnej dla jednostek 
samorządu terytorialnego</t>
  </si>
  <si>
    <t>Subwencje ogólne z budżetu państwa</t>
  </si>
  <si>
    <t>75802</t>
  </si>
  <si>
    <t>75814</t>
  </si>
  <si>
    <t>Różne rozliczenia finansowe</t>
  </si>
  <si>
    <t xml:space="preserve">Pozostałe odsetki </t>
  </si>
  <si>
    <t>85156</t>
  </si>
  <si>
    <t xml:space="preserve">Wpływy z usług </t>
  </si>
  <si>
    <t>GOSPODARKA KOMUNALNA I OCHRONA 
ŚRODOWISKA</t>
  </si>
  <si>
    <t>80113</t>
  </si>
  <si>
    <t>Dowożenie uczniów do szkół</t>
  </si>
  <si>
    <t>Przychody</t>
  </si>
  <si>
    <t>Wydatki</t>
  </si>
  <si>
    <t xml:space="preserve">Plan </t>
  </si>
  <si>
    <t xml:space="preserve">Wykonanie </t>
  </si>
  <si>
    <t>751</t>
  </si>
  <si>
    <t>Razem</t>
  </si>
  <si>
    <t>DOCHODY I WYDATKI ZWIĄZANE Z REALIZACJĄ ZADAŃ Z ZAKRESU ADMINISTRACJI RZĄDOWEJ 
I INNYCH ZADAŃ ZLECONYCH ODRĘBNYMI USTAWAMI</t>
  </si>
  <si>
    <t>DOCHODY I WYDATKI ZWIĄZANE Z REALIZACJĄ ZADAŃ Z ZAKRESU ADMINISTRACJI RZĄDOWEJ 
WYKONYWANYCH NA PODSTAWIE POROZUMIEŃ Z ORGANAMI ADMINISTRACJI RZĄDOWEJ</t>
  </si>
  <si>
    <t>Lp.</t>
  </si>
  <si>
    <t>I</t>
  </si>
  <si>
    <t>Dochody ogółem</t>
  </si>
  <si>
    <t>1.</t>
  </si>
  <si>
    <t>2.</t>
  </si>
  <si>
    <t>II</t>
  </si>
  <si>
    <t>Wydatki ogółem</t>
  </si>
  <si>
    <t>III</t>
  </si>
  <si>
    <t>X</t>
  </si>
  <si>
    <t>Usługi remontowe</t>
  </si>
  <si>
    <t>Inwestycje</t>
  </si>
  <si>
    <t>Stan środków obrotowych na koniec okresu sprawozdawczego</t>
  </si>
  <si>
    <t>Stan środków obrotowych na początek okresu sprawozdawczego</t>
  </si>
  <si>
    <t>Składki  na ubezpieczenie zdrowotne opłacane za osoby pobierające niektóre świadczenia z pomocy społecznej, niektóre świadczenia rodzinne oraz za osoby uczestniczące w zajęciach w centrum integracji społecznej</t>
  </si>
  <si>
    <t>IV</t>
  </si>
  <si>
    <t>z tego:</t>
  </si>
  <si>
    <t>Wydatki bieżące</t>
  </si>
  <si>
    <t>Transport i łączność</t>
  </si>
  <si>
    <t>Oświata i wychowanie</t>
  </si>
  <si>
    <t>Ochrona zdrowia</t>
  </si>
  <si>
    <t>Zagospodarowanie Basenu Północnego w Świnoujsciu na Port Jachtowy</t>
  </si>
  <si>
    <t>Dotacje z budżetu Miasta</t>
  </si>
  <si>
    <t>- podmiotowa</t>
  </si>
  <si>
    <t>Wpływy z tytułu pomocy finansowej udzielanej między jednostkami samorządu terytorialnego na dofinansowanie własnych zadań inwestycyjnych i zakupów inwestycyjnych</t>
  </si>
  <si>
    <t>pozostałe wydatki</t>
  </si>
  <si>
    <t>Wpływy z tytułu pomocy finansowej udzielanej między jednostkami samorządu terytorialnego na dofinansowanie własnych zadań bieżących</t>
  </si>
  <si>
    <t>Drogi publiczne krajowe</t>
  </si>
  <si>
    <t>Dotacje celowe otrzymane z budżetu państwa na 
realizację inwestycji i zakupów inwestycyjnych własnych powiatu</t>
  </si>
  <si>
    <t>GOSPODARKA KOMUNALNA I OCHRONA ŚRODOWISKA</t>
  </si>
  <si>
    <t>90004</t>
  </si>
  <si>
    <t>Utrzymanie zieleni w miastach i gminach</t>
  </si>
  <si>
    <t>90006</t>
  </si>
  <si>
    <t>Ochrona gleby i wód podziemnych</t>
  </si>
  <si>
    <t>90013</t>
  </si>
  <si>
    <t>Świadczenia rodzinne, świadczenie z funduszu alimentacyjnego oraz składki na ubezpieczenia emerytalne i rentowe z ubezpieczenia społecznego</t>
  </si>
  <si>
    <t>Przychody z zaciągniętych pożyczek i kredytów na rynku krajowym</t>
  </si>
  <si>
    <t>§ 952</t>
  </si>
  <si>
    <t>- obligacje komunalne</t>
  </si>
  <si>
    <t>Schroniska dla zwierząt</t>
  </si>
  <si>
    <t>KULTURA I OCHRONA DZIEDZICTWA NARODOWEGO</t>
  </si>
  <si>
    <t>92109</t>
  </si>
  <si>
    <t>Domy i ośrodki kultury, świetlice i kluby</t>
  </si>
  <si>
    <t>92116</t>
  </si>
  <si>
    <t>Biblioteki</t>
  </si>
  <si>
    <t>92118</t>
  </si>
  <si>
    <t>Muzea</t>
  </si>
  <si>
    <t>92195</t>
  </si>
  <si>
    <t>I. Dochody własne</t>
  </si>
  <si>
    <t>1. Podatki</t>
  </si>
  <si>
    <t>27.</t>
  </si>
  <si>
    <t>28.</t>
  </si>
  <si>
    <t>29.</t>
  </si>
  <si>
    <t>2708</t>
  </si>
  <si>
    <t>3.1</t>
  </si>
  <si>
    <t>3.2</t>
  </si>
  <si>
    <t>3.3</t>
  </si>
  <si>
    <t>4.1</t>
  </si>
  <si>
    <t>4.2</t>
  </si>
  <si>
    <t>4.3</t>
  </si>
  <si>
    <t>32.</t>
  </si>
  <si>
    <t>Prowadzenie środowiskowego domu samopomocy</t>
  </si>
  <si>
    <t>Przebudowa stadionu OSiR Wyspiarz przy ul. Matejki</t>
  </si>
  <si>
    <t>Koszty</t>
  </si>
  <si>
    <t>MUZEUM RYBOŁÓWSTWA MORSKIEGO</t>
  </si>
  <si>
    <t>Inne dochody na realizację miejskich imprez kulturalnych</t>
  </si>
  <si>
    <t>Dofinansowanie z Biblioteki Narodowej zakupu nowości wydawniczych</t>
  </si>
  <si>
    <t>Stopień zaawansowania realizacji programów wieloletnich</t>
  </si>
  <si>
    <t>Nazwa i cel</t>
  </si>
  <si>
    <t>Jednostka odpowiedzial-
na lub koordynująca program</t>
  </si>
  <si>
    <t>Okres realizacji programu</t>
  </si>
  <si>
    <t xml:space="preserve">Łączne nakłady finansowe </t>
  </si>
  <si>
    <t xml:space="preserve">Limit wydatków w </t>
  </si>
  <si>
    <t xml:space="preserve">Łącznie limit zobowiązań </t>
  </si>
  <si>
    <t>Kwota wykonanych wydatków w 2013 roku</t>
  </si>
  <si>
    <t>Limit zobowiązań na lata następne</t>
  </si>
  <si>
    <t>od</t>
  </si>
  <si>
    <t>do</t>
  </si>
  <si>
    <t>2013 roku</t>
  </si>
  <si>
    <t>Wydatki na przedsięwzięcia - ogółem (1.1  + 1.2  + 1.3)
z tego:</t>
  </si>
  <si>
    <t>1.a</t>
  </si>
  <si>
    <t>- wydatki bieżące</t>
  </si>
  <si>
    <t>1.b</t>
  </si>
  <si>
    <t>- wydatki majątkowe</t>
  </si>
  <si>
    <t>1.1.</t>
  </si>
  <si>
    <t>Wydatki na programy, projekty lub zadania związane z programami realizowanymi z udziałem środków, o których mowa w art. 5 ust. 1 pkt 2 i 3 ustawy z dnia 27 sierpnia 2009 r. o finansach publicznych (Dz. U. Nr 157, poz. 1240, z późn. zm.)
z tego:</t>
  </si>
  <si>
    <t>1.1.1.</t>
  </si>
  <si>
    <t>1.1.1.1</t>
  </si>
  <si>
    <t>"Stać mnie na więcej" (85395)</t>
  </si>
  <si>
    <t>MOPR</t>
  </si>
  <si>
    <t>1.1.1.2</t>
  </si>
  <si>
    <t>"Piramida kompetencji - II edycja" (85395)</t>
  </si>
  <si>
    <t>PUP</t>
  </si>
  <si>
    <t>1.1.2.</t>
  </si>
  <si>
    <t>1.1.2.1</t>
  </si>
  <si>
    <t>Projekt zintegrowany "Śródmieście" - Przebudowa ulic: Hołdu Pruskiego, Wyszyńskiego i Monte Cassino (60016)</t>
  </si>
  <si>
    <t xml:space="preserve">
Urząd Miasta (WIM)</t>
  </si>
  <si>
    <t>1.1.2.2</t>
  </si>
  <si>
    <t>Międzynarodowy Bałtycki szlak rowerowy R-10 Stralsund-Świnoujście - ul. Uzdrowiskowa, wzdłuż Świny  i ul. Barlickiego (60016)</t>
  </si>
  <si>
    <t>Zagospodarowanie Basenu Północnego w Świnoujściu na Port Jachtowy (63095)</t>
  </si>
  <si>
    <t>Urząd Miasta (WIM)</t>
  </si>
  <si>
    <t>1.1.2.3</t>
  </si>
  <si>
    <t>Budowa szkolnego ośrodka żeglarskiego w Przytorze (80101)</t>
  </si>
  <si>
    <t>Urząd Miasta (WIM/SP9)</t>
  </si>
  <si>
    <t>1.1.2.4</t>
  </si>
  <si>
    <t>Melioracja terenów zurbanizowanych na obszarze Miasta Świnoujście (90095)</t>
  </si>
  <si>
    <t>1.1.2.5</t>
  </si>
  <si>
    <t>Wzmocnienie potencjału i roli gminnych bibliotek publicznych (92116)</t>
  </si>
  <si>
    <t>Urząd Miasta (WPT)</t>
  </si>
  <si>
    <r>
      <t>Budowa Centrum Kultury i Sportu przy ul. Matejki - budowa zadaszenia amfiteat</t>
    </r>
    <r>
      <rPr>
        <sz val="9"/>
        <color indexed="8"/>
        <rFont val="Arial"/>
        <family val="2"/>
      </rPr>
      <t>ru w Świnoujściu</t>
    </r>
    <r>
      <rPr>
        <sz val="9"/>
        <rFont val="Arial"/>
        <family val="2"/>
      </rPr>
      <t xml:space="preserve"> (92601)</t>
    </r>
  </si>
  <si>
    <t>1.1.2.6</t>
  </si>
  <si>
    <t>Adaptacja istniejącego budynku do celów obsługi portu jachtowego, położonego na terenie Basenu Północnego w Świnoujściu (92605)</t>
  </si>
  <si>
    <t>OSIR Wyspiarz</t>
  </si>
  <si>
    <t>1.2.</t>
  </si>
  <si>
    <t>Wydatki na programy, projekty lub zadania związane z umowami partnerstwa publiczno-prywatnego
z tego:</t>
  </si>
  <si>
    <t>1.2.1.</t>
  </si>
  <si>
    <t>1.2.1.1</t>
  </si>
  <si>
    <t>1.2.2.</t>
  </si>
  <si>
    <t>1.2.2.1</t>
  </si>
  <si>
    <t>1.3.</t>
  </si>
  <si>
    <t>Wydatki na programy, projekty lub zadania pozostałe (inne niż wymienione w pkt 1.1 i 1.2)
z tego:</t>
  </si>
  <si>
    <t>1.3.1.</t>
  </si>
  <si>
    <t>1.3.1.1</t>
  </si>
  <si>
    <t>Konserwacja, eksploatacja i utrzymanie w sprawności technicznej urządzeń melioracji szczegółowej na obszarze zlewni w dzielnicy Łunowo w Świnoujściu (01008)</t>
  </si>
  <si>
    <t>Urząd Miasta (WEZ)</t>
  </si>
  <si>
    <t>1.3.1.2</t>
  </si>
  <si>
    <t>Inwentaryzacja urządzeń melioracyjnych na terenie Gminy/Miasto Świnoujście (01008)</t>
  </si>
  <si>
    <t>1.3.1.3</t>
  </si>
  <si>
    <t>Targowisko miejskie - ochrona (50095)</t>
  </si>
  <si>
    <t>1.3.1.4</t>
  </si>
  <si>
    <t>Świadczenie publicznych usług przewozowych w zbiorowej komunikacji autobusowej na terenie miasta Świnoujście (60004)</t>
  </si>
  <si>
    <t>1.3.1.5</t>
  </si>
  <si>
    <t>Ubezpieczenie majątku (60015)</t>
  </si>
  <si>
    <t>Żegluga Świnoujska</t>
  </si>
  <si>
    <t>1.3.1.6</t>
  </si>
  <si>
    <t>Dowóz pracowników (60015)</t>
  </si>
  <si>
    <t>1.3.1.7</t>
  </si>
  <si>
    <t>Obsługa internetowa (60015)</t>
  </si>
  <si>
    <t>1.3.1.8</t>
  </si>
  <si>
    <t>09.12.2013 r.</t>
  </si>
  <si>
    <t>12.12.2013 r.</t>
  </si>
  <si>
    <t>19.12.2013 r.</t>
  </si>
  <si>
    <t>20.12.2013 r.</t>
  </si>
  <si>
    <t>30.12.2013 r.</t>
  </si>
  <si>
    <t>164,     168</t>
  </si>
  <si>
    <t>160,        172</t>
  </si>
  <si>
    <t>Tabela 26</t>
  </si>
  <si>
    <t>18.11.2013 r.</t>
  </si>
  <si>
    <t>696/2013</t>
  </si>
  <si>
    <t>14.10.2013 r.</t>
  </si>
  <si>
    <t>20.11.2013 r.</t>
  </si>
  <si>
    <t>704/2013</t>
  </si>
  <si>
    <t>28.11.2013 r.</t>
  </si>
  <si>
    <t>734/2013</t>
  </si>
  <si>
    <t>29.11.2013 r.</t>
  </si>
  <si>
    <t>738/2013</t>
  </si>
  <si>
    <t>765/2013</t>
  </si>
  <si>
    <t>775/2013</t>
  </si>
  <si>
    <t>XLVIII/376/2013</t>
  </si>
  <si>
    <t>800/2013</t>
  </si>
  <si>
    <t>811/2013</t>
  </si>
  <si>
    <t>31.12.2013 r.</t>
  </si>
  <si>
    <t>813/2013</t>
  </si>
  <si>
    <t>XLIV/355/2013</t>
  </si>
  <si>
    <t>28.01.2013 r.</t>
  </si>
  <si>
    <t>Budowa targowiska miejskiego wraz z niezbędną infrastrukturą</t>
  </si>
  <si>
    <t>Przebudowa chodników i jezdni w drogach powiatowych</t>
  </si>
  <si>
    <t>Budowa systemu parkingowego w mieście</t>
  </si>
  <si>
    <t>Projekt zintegrowany "Śródmieście" - Przebudowa ulic: Hołdu Pruskiego, Wyszyńskiego i Monte Cassino</t>
  </si>
  <si>
    <t xml:space="preserve">Dojazd do Zespołu Szkół Ogólnokształcących - I etap - przebudowa drogi od ul. Kościuszki </t>
  </si>
  <si>
    <t>Przebudowa przystani jachtowej w Łunowie</t>
  </si>
  <si>
    <t xml:space="preserve">Rozbudowa cmentarza komunalnego w Świnoujściu </t>
  </si>
  <si>
    <t>Adaptacja budynku przy ul. Wyspiańskiego 35c na potrzeby administracji miejskiej</t>
  </si>
  <si>
    <t>Utworzenie szkolnego placu zabaw przy Szkole Podstawowej nr 9 przy ul. Sąsiedzkiej w Przytorze</t>
  </si>
  <si>
    <t>Wykonanie przebudowy wewnętrznych instalacji elektrycznych w obiektach szkół gimnazjalnych na terenie miasta</t>
  </si>
  <si>
    <t>zlecone i własne G</t>
  </si>
  <si>
    <t>Zakupy inwestycyjne dla Policji</t>
  </si>
  <si>
    <t>dotacje i subwencje</t>
  </si>
  <si>
    <t>Wpływy i wydatki związane z gromadzeniem środków z opłat i kar za korzystanie ze środowiska</t>
  </si>
  <si>
    <t>Wydatki na realizację zadań zleconych</t>
  </si>
  <si>
    <t>Finansowanie programów i projektów ze środków funduszy strukturalnych, Funduszu Spójności, Europejskiego Funduszu Rybackiego oraz z funduszy unijnych finansujących Wspólną Politykę Rolną</t>
  </si>
  <si>
    <t xml:space="preserve">Wykonane wydatków </t>
  </si>
  <si>
    <t>4.11</t>
  </si>
  <si>
    <t xml:space="preserve">      - uzupełnienie dochodów gminy</t>
  </si>
  <si>
    <t>Składki na ubezpieczenie zdrowotne opłacane za osoby pobierające niektóre świadczenia z pomocy społecznej, niektóre świadczenia rodzinne oraz za osoby uczestniczące w zajęciach w centrum integracji społecznej</t>
  </si>
  <si>
    <t>Współfinansowanie programów i projektów realizowanych ze środków funduszy strukturalnych, Funduszu Spójności, Europejskiego Funduszu Rybackiego oraz z funduszy unijnych finansujących Wspólną Politykę Rolną</t>
  </si>
  <si>
    <t>Środki na  inwestycje na drogach publicznych powiatowych i wojewódzkich oraz na drogach powiatowych, wojewódzkich i krajowych w granicach miast na prawach powiatu</t>
  </si>
  <si>
    <t>razem z pochodnymi od świadczeń społ.</t>
  </si>
  <si>
    <t>Zespół Szkolno-Przedszkolny</t>
  </si>
  <si>
    <t>Zakup usług zdrowotnych</t>
  </si>
  <si>
    <t>OŚRODEK SPORTU I REKREACJI "WYSPIARZ"</t>
  </si>
  <si>
    <t>Wpłaty na Państwowy Fundusz Rehabilitacji Osób Niepełnosprawnych</t>
  </si>
  <si>
    <t>Zakup usług obejmujących wykonanie ekspertyz, analiz i opinii</t>
  </si>
  <si>
    <t>Podróże służbowe zagraniczne</t>
  </si>
  <si>
    <t>Opłaty na rzecz budżetów jednostek samorządu terytorialnego</t>
  </si>
  <si>
    <t>Wpłata do budżetu nadwyżki środków obrotowych</t>
  </si>
  <si>
    <t>V.</t>
  </si>
  <si>
    <t>Gimnazjum im. św. Jadwigi Królowej</t>
  </si>
  <si>
    <t>Katolickie Liceum Ogólnokształcące im. św. Jadwigi Królowej</t>
  </si>
  <si>
    <t>Liceum Ogólnokształcące im. św. Jadwigi Królowej dla Dorosłych</t>
  </si>
  <si>
    <t>RAZEM III+IV+V</t>
  </si>
  <si>
    <t>Różnica
(5 - 6)</t>
  </si>
  <si>
    <t>4. Dochody z majątku</t>
  </si>
  <si>
    <t>transfery z budżetu państwa (dotacja)</t>
  </si>
  <si>
    <t>1.6</t>
  </si>
  <si>
    <t>programy unijne</t>
  </si>
  <si>
    <t>Stać mnie na więcej - przeciwdziałanie wykluczeniu społecznemu młodzieży w wieku 15-25 lat</t>
  </si>
  <si>
    <t>6180</t>
  </si>
  <si>
    <t>75803</t>
  </si>
  <si>
    <t>Część wyrównawcza subwencji ogólnej dla powiatów</t>
  </si>
  <si>
    <t>2009</t>
  </si>
  <si>
    <t>Tabela 1</t>
  </si>
  <si>
    <t>Tabela 2</t>
  </si>
  <si>
    <t xml:space="preserve">             Tabela nr 4</t>
  </si>
  <si>
    <t>Tabela nr  9</t>
  </si>
  <si>
    <t>Tabela nr 10</t>
  </si>
  <si>
    <t>Tabela nr 11</t>
  </si>
  <si>
    <t>Tabela nr 18</t>
  </si>
  <si>
    <t>Tabela 24</t>
  </si>
  <si>
    <t>Tabela 23</t>
  </si>
  <si>
    <t>Tabela 22</t>
  </si>
  <si>
    <t>Tabela 21</t>
  </si>
  <si>
    <t>Tabela 20</t>
  </si>
  <si>
    <t>transfery z budżetu państwa (dotacje, subwencje, udziały, rekompensaty)</t>
  </si>
  <si>
    <t>Rozdział 92118</t>
  </si>
  <si>
    <t>Dotacje celowe otrzymane z budżetu państwa na inwestycje i zakupy inwestycyjne realizowane przez powiat na podstawie porozumień z organami administracji rządowej</t>
  </si>
  <si>
    <t>Finansowanie z pożyczek i kredytów zagranicznych</t>
  </si>
  <si>
    <t>różnica</t>
  </si>
  <si>
    <t>75704</t>
  </si>
  <si>
    <t>Rozliczenia z tytułu poręczeń i gwarancji udzielonych przez Skarb Państwa lub jednostkę samorządu terytorialnego</t>
  </si>
  <si>
    <t>- wydatki z tytułu poręczeń i gwarancji</t>
  </si>
  <si>
    <t>Zakupy inwestycyjne</t>
  </si>
  <si>
    <t>Koszty finansowe i pozostałe koszty operacyjne oraz straty</t>
  </si>
  <si>
    <t>Podatki i opłaty</t>
  </si>
  <si>
    <t xml:space="preserve"> SAMODZIELNY PUBLICZNY ZAKŁAD OPIEKI ZDROWOTNEJ SZPITAL MIEJSKI
 IM. JANA GARDUŁY</t>
  </si>
  <si>
    <t>AMORTYZACJA</t>
  </si>
  <si>
    <t>ZUŻYCIE MATERIAŁÓW</t>
  </si>
  <si>
    <t>materiały i akcesoria do sprzątania</t>
  </si>
  <si>
    <t>sprzęt, materiały medyczne jednorazowego użytku, opatrunki, pieluchy, materiały szewne</t>
  </si>
  <si>
    <t>materiały biurowe (w tym druki medyczne i recepty, prasa fachowa)</t>
  </si>
  <si>
    <t>2.4</t>
  </si>
  <si>
    <t>bielizna i odzież ochronna</t>
  </si>
  <si>
    <t>2.5</t>
  </si>
  <si>
    <t>środki czystości i dezynfekcyjne</t>
  </si>
  <si>
    <t>2.6</t>
  </si>
  <si>
    <t>Umowa na dowóz dzieci niepełnosprawnych, z miejsca zamieszkania do szkół i z powrotem, poza granicami m. Świnoujście - um. Nr 9 (80113)</t>
  </si>
  <si>
    <t>1.3.1.55</t>
  </si>
  <si>
    <t>Umowa na dowóz dzieci niepełnosprawnych, z miejsca zamieszkania do szkół i z powrotem, poza granicami m. Świnoujście (80113)</t>
  </si>
  <si>
    <t>1.3.1.56</t>
  </si>
  <si>
    <t>Umowa kredytu Nr 07/0046 zawarta w dniu 24.04.2007r. Z BRE Bankiem Hipotecznym S.A. W Warszawie (85111)</t>
  </si>
  <si>
    <t>Urząd Miasta (WZP)</t>
  </si>
  <si>
    <t>1.3.1.57</t>
  </si>
  <si>
    <t>Umowa nr BKO-PLN-CBKGD-08-000031 o udzielenie kredytu długoterminowego zawarta w dn.08.12.2008r. z Nordea Bank Polska S.A. (85111)</t>
  </si>
  <si>
    <t>1.3.1.58</t>
  </si>
  <si>
    <t>Umowa nr BKO-PLN-CBKGD-10-000010 o udzielenie kredytu długoterminowego zawarta w dn.07.06.2010r. z Nordea Bank Polska S.A. (85111)</t>
  </si>
  <si>
    <t>1.3.1.59</t>
  </si>
  <si>
    <t>Porozumienie zawarte w dn.30.12.2010r. z M.W.Trade S.A. We Wrocławiu (85111)</t>
  </si>
  <si>
    <t>1.3.1.60</t>
  </si>
  <si>
    <t>Umowa z radcą prawnym na wykonywanie usługi prawnej, tj. udzielania porad i konsultacji prawnych oraz sporządzania opinii (80195)</t>
  </si>
  <si>
    <t>1.3.1.61</t>
  </si>
  <si>
    <t>Umowa z f-mą VULCAN o prawo użytkowania programu komputerowego Sigma optivum wraz z serwerem aplikacji udostępnionym w sieci internet, łącznie z jego administrowaniem (80195)</t>
  </si>
  <si>
    <t>1.3.1.62</t>
  </si>
  <si>
    <t xml:space="preserve">Prowadzenie Centrum Pomocy i Wsparcia w Zakresie Uzależnień (85154)  </t>
  </si>
  <si>
    <t>1.3.1.63</t>
  </si>
  <si>
    <t xml:space="preserve">Prowadzenie świetlicy środowiskowej (85154)  </t>
  </si>
  <si>
    <t>1.3.1.64</t>
  </si>
  <si>
    <t xml:space="preserve">Prowadzenie Środowiskowego Ogniska Wychowawczego Nr 1  (85154)  </t>
  </si>
  <si>
    <t>1.3.1.65</t>
  </si>
  <si>
    <t xml:space="preserve">Prowadzenie Środowiskowego Ogniska Wychowawczego Nr 2  (85154)  </t>
  </si>
  <si>
    <t>1.3.1.66</t>
  </si>
  <si>
    <t>Umowa o prowadzenie rachunków bankowych (85219)</t>
  </si>
  <si>
    <t>1.3.1.67</t>
  </si>
  <si>
    <t xml:space="preserve">Funkcjonowanie ogrzewalni (85395)  </t>
  </si>
  <si>
    <t>1.3.1.68</t>
  </si>
  <si>
    <t xml:space="preserve">Prowadzenie Środowiskowego Domu Samopomocy (85203/85395)  </t>
  </si>
  <si>
    <t>1.3.1.69</t>
  </si>
  <si>
    <t xml:space="preserve">Prowadzenie schroniska dla bezdomnych  (85395)  </t>
  </si>
  <si>
    <t>1.3.1.70</t>
  </si>
  <si>
    <t xml:space="preserve">Prowadzenie poradnictwa, pomocy psychologicznej, działań edukacyjno-informacyjnych dla osób niepełnosprawnych po chorobie raka piersi i ich rodzin (85395)  </t>
  </si>
  <si>
    <t>1.3.1.71</t>
  </si>
  <si>
    <t xml:space="preserve">Prowadzenie poradnictwa, pomocy psychologicznej, działań edukacyjno-informacyjnych dla osób niepełnosprawnych i ich rodzin (85395)  </t>
  </si>
  <si>
    <t>1.3.1.72</t>
  </si>
  <si>
    <t xml:space="preserve">Prowadzenie poradnictwa, pomocy psychologicznej, działań edukacyjno-informacyjnych dla osób niepełnosprawnych z wadą wzroku i ich rodzin (85395)  </t>
  </si>
  <si>
    <t>1.3.1.73</t>
  </si>
  <si>
    <t xml:space="preserve">Prowadzenie Punktu Konsultacyjno-Logopedycznego dla Dzieci i Młodzieży z Wadą Słuchu (85395)  </t>
  </si>
  <si>
    <t>1.3.1.74</t>
  </si>
  <si>
    <t xml:space="preserve">Sub-projekt Integracja Społeczna - prowadzenie spotkań integracyjnych (85395)  </t>
  </si>
  <si>
    <t>1.3.1.75</t>
  </si>
  <si>
    <t>Odbiór odpadów komunalnych od właścicieli nieruchomości (90002)</t>
  </si>
  <si>
    <t>Urząd Miasta (WOŚ)</t>
  </si>
  <si>
    <t>1.3.1.76</t>
  </si>
  <si>
    <t>Bieżące utrzymanie nawierzchni, zieleni parkowej oraz obiektów małej architektury w sektorach nr 2 i 3 Parku Zdrojowego (90004)</t>
  </si>
  <si>
    <t>1.3.1.77</t>
  </si>
  <si>
    <t>Konserwacja i sprzątanie Parku Zdrojowego (z wyłączeniem powierzchni w sektorach nr 2 i 3) oraz place zabaw w parku (90004)</t>
  </si>
  <si>
    <t>1.3.1.78</t>
  </si>
  <si>
    <t>Utrzymanie terenów zieleni Miasta REJON I i inne tereny lewobrzeża (90004)</t>
  </si>
  <si>
    <t>1.3.1.79</t>
  </si>
  <si>
    <t>Utrzymanie terenów zieleni miasta Świnoujście REJON II i inne tereny prawobrzeża (90004)</t>
  </si>
  <si>
    <t>1.3.1.80</t>
  </si>
  <si>
    <t>Utrzymanie i konserwacja fontann (90004)</t>
  </si>
  <si>
    <t>1.3.1.81</t>
  </si>
  <si>
    <t>Zagospodarowanie starej części Cmentarza Komunalnego w Świnoujściu (90004)</t>
  </si>
  <si>
    <t>1.3.1.82</t>
  </si>
  <si>
    <t>Utrzymanie schroniska dla bezdomnych zwierząt w Świnoujściu (90013)</t>
  </si>
  <si>
    <t>1.3.1.83</t>
  </si>
  <si>
    <t>Wykonanie prac elektroenergetycznych oraz konserwacji i utrzymania bieżącego oświetlenia ulicznego (60016, 63095, 75095, 80104, 80110, 80130, 85111, 90015)</t>
  </si>
  <si>
    <t>1.3.1.84</t>
  </si>
  <si>
    <t xml:space="preserve">1.3.2 </t>
  </si>
  <si>
    <t>1.3.2.1</t>
  </si>
  <si>
    <t>Budowa kładki dla pieszych i rowerzystów nad linią kolejową w Łunowie (60015)</t>
  </si>
  <si>
    <t>1.3.2.1.</t>
  </si>
  <si>
    <t>Budowa mostu nad Starą Świną łączącego wyspy Karsibór i Wolin (60015)</t>
  </si>
  <si>
    <t>1.3.2.3</t>
  </si>
  <si>
    <t>Sprawny i przyjazny środowisku dostęp do infrastruktury portu w Świnoujściu (60015)</t>
  </si>
  <si>
    <t>1.3.2.2.</t>
  </si>
  <si>
    <t>Budowa budynków mieszkalnych z lokalami socjalnymi w Świnoujściu (70095)</t>
  </si>
  <si>
    <t>1.3.2.3.</t>
  </si>
  <si>
    <t>Budowa budynków mieszkalnych komunalnych w Świnoujściu (70095)</t>
  </si>
  <si>
    <t>1.3.2.4.</t>
  </si>
  <si>
    <t>Rozbudowa cmentarza komunalnego w Świnoujściu (71035)</t>
  </si>
  <si>
    <t>1.3.2.5.</t>
  </si>
  <si>
    <t>Adaptacja budynku przy ul. Wyspiańskiego 35c na potrzeby administracji miejskiej (75095)</t>
  </si>
  <si>
    <t>1.3.2.6.</t>
  </si>
  <si>
    <t>Utworzenie ogrzewalni dla osób bezdomnych na terenie schroniska dla osób bezdomnych przy ul. Portowej 10 w Świnoujściu (85295)</t>
  </si>
  <si>
    <t>1.3.2.7.</t>
  </si>
  <si>
    <t>1.3.2.8.</t>
  </si>
  <si>
    <t>Kompleksowa renowacja zespołu kamienic przy ul. Hołdu Pruskiego i Piłsudskiego - dotacja celowa na finansowanie zadań inwestycyjnych -obiektów zabytkowych (92120)</t>
  </si>
  <si>
    <t>Zakład Gospodarki Mieszkaniowej</t>
  </si>
  <si>
    <t xml:space="preserve">Zespoły do spraw orzekania
o niepełnosprawności </t>
  </si>
  <si>
    <t>BEZPIECZEŃSTWO PUBLICZNE 
I OCHRONA PRZECIWPOŻAROWA</t>
  </si>
  <si>
    <t>3.</t>
  </si>
  <si>
    <t>60041</t>
  </si>
  <si>
    <t>Infrastruktura portowa</t>
  </si>
  <si>
    <t>Wpływy z innych lokalnych opłat pobieranych przez jednostki samorządu terytorialnego na podstawie odrębnych ustaw</t>
  </si>
  <si>
    <t>90020</t>
  </si>
  <si>
    <t>Wpływy i wydatki związane z gromadzeniem środków z opłat produktowych</t>
  </si>
  <si>
    <t>Wpływy z opłaty produktowej</t>
  </si>
  <si>
    <t>4.</t>
  </si>
  <si>
    <t>5.</t>
  </si>
  <si>
    <t>6.</t>
  </si>
  <si>
    <t>9.</t>
  </si>
  <si>
    <t>- inne źródła</t>
  </si>
  <si>
    <t>10.</t>
  </si>
  <si>
    <t>12.</t>
  </si>
  <si>
    <t>13.</t>
  </si>
  <si>
    <t>15.</t>
  </si>
  <si>
    <t>16.</t>
  </si>
  <si>
    <t>17.</t>
  </si>
  <si>
    <t>18.</t>
  </si>
  <si>
    <t>2910</t>
  </si>
  <si>
    <t xml:space="preserve">Koszty zakupu sprzedanych towarów </t>
  </si>
  <si>
    <t xml:space="preserve">    - od działalności gospodarczej osób fizycznych,      opłacany w formie karty podatkowej</t>
  </si>
  <si>
    <t>ma być</t>
  </si>
  <si>
    <t>Wpływy ze zwrotów dotacji wykorzystanych niezgodnie z przeznaczeniem lub pobranych w nadmiernej wysokości</t>
  </si>
  <si>
    <t>19.</t>
  </si>
  <si>
    <t>20.</t>
  </si>
  <si>
    <t>21.</t>
  </si>
  <si>
    <t>22.</t>
  </si>
  <si>
    <t>§282</t>
  </si>
  <si>
    <t>1. Dotacje przedmiotowe (§ 2650 - zakłady budżetowe)</t>
  </si>
  <si>
    <t>§232</t>
  </si>
  <si>
    <t>§258</t>
  </si>
  <si>
    <t>§259</t>
  </si>
  <si>
    <t>Różnica bieżące</t>
  </si>
  <si>
    <t>- wydatki jednostek budżetowych</t>
  </si>
  <si>
    <t xml:space="preserve">   - wydatki związane z realizacją zadań statutowych</t>
  </si>
  <si>
    <t>- dotacje i subwencje</t>
  </si>
  <si>
    <t>Wydatki majątkowe</t>
  </si>
  <si>
    <t>- inwestycje</t>
  </si>
  <si>
    <t>Działania merytoryczne</t>
  </si>
  <si>
    <t>- świadczenia na rzecz osób fizycznych</t>
  </si>
  <si>
    <t>Wybory Prezydenta Rzeczypospolitej Polskiej</t>
  </si>
  <si>
    <t>- obsługa długu publicznego</t>
  </si>
  <si>
    <t>80105</t>
  </si>
  <si>
    <t>Przedszkola specjalne</t>
  </si>
  <si>
    <t>- dotacje</t>
  </si>
  <si>
    <t>Zadania w zakresie przeciwdziałania przemocy w rodzinie</t>
  </si>
  <si>
    <t>- wydatki jednostek pomocniczych</t>
  </si>
  <si>
    <t>- programy unijne</t>
  </si>
  <si>
    <t>Różnica majątkowe</t>
  </si>
  <si>
    <t>Warsztaty Terapii Zajęciowej</t>
  </si>
  <si>
    <t>§265</t>
  </si>
  <si>
    <t>§254</t>
  </si>
  <si>
    <t>§248</t>
  </si>
  <si>
    <t>§256</t>
  </si>
  <si>
    <t>§621</t>
  </si>
  <si>
    <t>§622</t>
  </si>
  <si>
    <t>wpływy z przekształcenia i sprzedaży nieruchomości i składników majątkowych</t>
  </si>
  <si>
    <t>DOTACJE INWESTYCYJNE</t>
  </si>
  <si>
    <t>§617</t>
  </si>
  <si>
    <t>Składki na ubezpieczenia społeczne</t>
  </si>
  <si>
    <t>Składki na Fundusz Pracy</t>
  </si>
  <si>
    <t>Wynagrodzenia bezosobowe</t>
  </si>
  <si>
    <t>Zakup materiałów i wyposażenia</t>
  </si>
  <si>
    <t>Zakup energii</t>
  </si>
  <si>
    <t>Zakup usług remontowych</t>
  </si>
  <si>
    <t>2310</t>
  </si>
  <si>
    <t>2700</t>
  </si>
  <si>
    <t>Budowa mostu nad Starą Świną łączącego wyspy Karsibór i Wolin</t>
  </si>
  <si>
    <t>Stołówki szkolne i przedszkolne</t>
  </si>
  <si>
    <t>ADMINISTRACJA  PUBLICZNA</t>
  </si>
  <si>
    <t>85334</t>
  </si>
  <si>
    <t>Pomoc dla repatriantów</t>
  </si>
  <si>
    <t>Zakup usług pozostałych</t>
  </si>
  <si>
    <t>Zakup usług dostępu do sieci Internet</t>
  </si>
  <si>
    <t>Opłaty z tytułu zakupu usług telekomunikacyjnych telefonii komórkowej</t>
  </si>
  <si>
    <t>Opłaty z tytułu zakupu usług telekomunikacyjnych telefonii stacjonarnej</t>
  </si>
  <si>
    <t>Opłaty za administrowanie i czynsze za budynki, lokale i pomieszczenia garażowe</t>
  </si>
  <si>
    <t>Podróże służbowe krajowe</t>
  </si>
  <si>
    <t>Różne opłaty i składki</t>
  </si>
  <si>
    <t>Odpisy na zakładowy fundusz świadczeń socjalnych</t>
  </si>
  <si>
    <t xml:space="preserve">Odsetki od nieterminowych wpłat z tytułu pozostałych podatków i opłat </t>
  </si>
  <si>
    <t>Kary i odszkodowania wypłacane na rzecz osób fizycznych</t>
  </si>
  <si>
    <t>Szkolenia pracowników niebędących członkami korpusu służby cywilnej</t>
  </si>
  <si>
    <t>Zakup materiałów papierniczych do sprzętu drukarskiego i urządzeń kserograficznych</t>
  </si>
  <si>
    <t>,</t>
  </si>
  <si>
    <t>Zakup akcesoriów komputerowych, w tym programów i licencji</t>
  </si>
  <si>
    <t>Wydatki inwestycyjne zakładów budżetowych</t>
  </si>
  <si>
    <t>Wydatki na zakupy inwestycyjne zakładów budżetowych</t>
  </si>
  <si>
    <t>odpisy amortyzacji</t>
  </si>
  <si>
    <t>inne zmniejszenia</t>
  </si>
  <si>
    <t>IV.</t>
  </si>
  <si>
    <t>RAZEM III+IV</t>
  </si>
  <si>
    <t>KULTURA FIZYCZNA I SPORT</t>
  </si>
  <si>
    <t>Nazwa zadania inwestycyjnego</t>
  </si>
  <si>
    <t>Dochody z najmu i dzierżawy składników majątkowych Skarbu 
Państwa, jednostek samorządu terytorialnego lub innych jednostek zaliczanych do sektora finansów publicznych oraz innych umów o podobnym charakterze</t>
  </si>
  <si>
    <t>Wpłata środków finansowych z niewykorzystanych w terminie wydatków, które nie wygasają z upływem roku budżetowego</t>
  </si>
  <si>
    <t>85278</t>
  </si>
  <si>
    <t>2008</t>
  </si>
  <si>
    <t>wykonanie</t>
  </si>
  <si>
    <t>Przebudowa chodników i jezdni w drogach gminnych</t>
  </si>
  <si>
    <t>75108</t>
  </si>
  <si>
    <t>Wybory do Sejmu i Senatu</t>
  </si>
  <si>
    <t>2990</t>
  </si>
  <si>
    <t>6680</t>
  </si>
  <si>
    <t xml:space="preserve"> DOCHODY  MAJĄTKOWE WEDŁUG DZIAŁÓW, ROZDZIAŁÓW I PARAGRAFÓW KLASYFIKACJI BUDŻETOWEJ</t>
  </si>
  <si>
    <t>DOCHODY MAJĄTKOWE GMINY</t>
  </si>
  <si>
    <t>DOCHODY MAJĄTKOWE POWIATU</t>
  </si>
  <si>
    <t>OGÓŁEM DOCHODY MAJĄTKOWE (GMINA + POWIAT)</t>
  </si>
  <si>
    <t xml:space="preserve">    - eksploatacyjna</t>
  </si>
  <si>
    <t>POWIAT</t>
  </si>
  <si>
    <t xml:space="preserve">    - za zezwolenia na sprzedaż alkoholu</t>
  </si>
  <si>
    <t xml:space="preserve">    - za koncesje i licencje</t>
  </si>
  <si>
    <t xml:space="preserve">    - w podatku dochodowym od osób fizycznych</t>
  </si>
  <si>
    <t xml:space="preserve">    - w podatku dochodowym od osób prawnych</t>
  </si>
  <si>
    <t>Różnica</t>
  </si>
  <si>
    <t xml:space="preserve">    - wpływy z usług</t>
  </si>
  <si>
    <t xml:space="preserve">     RAZEM I+II+III</t>
  </si>
  <si>
    <t xml:space="preserve">    - środki pozyskane z innych źródeł</t>
  </si>
  <si>
    <t xml:space="preserve">  a) oświatowa</t>
  </si>
  <si>
    <t xml:space="preserve">  b) uzupełnienie subwencji</t>
  </si>
  <si>
    <t xml:space="preserve">        - powiat</t>
  </si>
  <si>
    <t xml:space="preserve">        - gmina</t>
  </si>
  <si>
    <t>ZMIANY DOKONANE W PRZYCHODACH I ROZCHODACH</t>
  </si>
  <si>
    <t xml:space="preserve">       - powiat</t>
  </si>
  <si>
    <t xml:space="preserve">       - gmina</t>
  </si>
  <si>
    <t>2701</t>
  </si>
  <si>
    <t>85324</t>
  </si>
  <si>
    <t>Państwowy Fundusz Rehabilitacji Osób Niepełnosprawnych</t>
  </si>
  <si>
    <t>Nr uchwały
 lub zarządzenia</t>
  </si>
  <si>
    <t>75818</t>
  </si>
  <si>
    <t>Rezerwy ogólne i celowe</t>
  </si>
  <si>
    <t>85311</t>
  </si>
  <si>
    <t>Wyszczególnienie jednostek</t>
  </si>
  <si>
    <t>Liceum Ogólnokształcące z Oddziałami Integracyjnymi</t>
  </si>
  <si>
    <t>Rehabilitacja zawodowa i społeczna osób niepełnosprawnych</t>
  </si>
  <si>
    <t>Nr uchwały 
lub zarządzenia</t>
  </si>
  <si>
    <t>75406</t>
  </si>
  <si>
    <t>Straż Graniczna</t>
  </si>
  <si>
    <t>60004</t>
  </si>
  <si>
    <t>Lokalny transport zbiorowy</t>
  </si>
  <si>
    <t>DOCHODY-WYDATKI</t>
  </si>
  <si>
    <t xml:space="preserve">  d) na zadania realizowane na podstawie porozumień z innymi jst lub z tytułu pomocy finansowej udzielonej między jst</t>
  </si>
  <si>
    <t xml:space="preserve">  e) pozostałe dotacje (np. rozwojowe, z funduszu celowego)</t>
  </si>
  <si>
    <t>Uzupełnienie subwencji ogólnej dla jednostek 
samorządu terytorialnego</t>
  </si>
  <si>
    <t>Składki na ubezpieczenie zdrowotne oraz świadczenia dla osób nieobjętych obowiązkiem ubezpieczenia zdrowotnego</t>
  </si>
  <si>
    <t>Ośrodki rewalidacyjno-wychowawcze</t>
  </si>
  <si>
    <t xml:space="preserve">Dział  </t>
  </si>
  <si>
    <t>ROLNICTWO I ŁOWIECTWO</t>
  </si>
  <si>
    <t>01008</t>
  </si>
  <si>
    <t>Melioracje wodne</t>
  </si>
  <si>
    <t>01030</t>
  </si>
  <si>
    <t>Izby rolnicze</t>
  </si>
  <si>
    <t>01095</t>
  </si>
  <si>
    <t xml:space="preserve">LEŚNICTWO </t>
  </si>
  <si>
    <t>WYTWARZANIE I ZAOPATRYWANIE 
W ENERGIĘ ELEKTRYCZNĄ, GAZ I WODĘ</t>
  </si>
  <si>
    <t>40002</t>
  </si>
  <si>
    <t>Dostarczanie wody</t>
  </si>
  <si>
    <t>HANDEL</t>
  </si>
  <si>
    <t>Zadania w zakresie kultury i ochrony dziedzictwa narodowego</t>
  </si>
  <si>
    <t>Ośrodek Sportu i Rekreacji "Wyspiarz"</t>
  </si>
  <si>
    <t>Zespół Szkół Publicznych nr 4 
z Oddziałami Integracyjnymi</t>
  </si>
  <si>
    <t>Prowadzenie spraw orzekania o niepełnosprawności</t>
  </si>
  <si>
    <t>Tabela nr 8</t>
  </si>
  <si>
    <t>50095</t>
  </si>
  <si>
    <t>Programy polityki zdrowotnej</t>
  </si>
  <si>
    <t xml:space="preserve">   - wynagrodzenia i pochodne</t>
  </si>
  <si>
    <t>63095</t>
  </si>
  <si>
    <t xml:space="preserve">Pozostała działalność </t>
  </si>
  <si>
    <t>70001</t>
  </si>
  <si>
    <t xml:space="preserve"> I Liceum Ogólnokształcące Towarzystwa Oświatowo-Promocyjnego "Business-Pro"</t>
  </si>
  <si>
    <t>Zakłady gospodarki mieszkaniowej</t>
  </si>
  <si>
    <t>70095</t>
  </si>
  <si>
    <t>71004</t>
  </si>
  <si>
    <t xml:space="preserve">INFORMACJA O WYSOKOŚCI DEFICYTU BUDŻETOWEGO  </t>
  </si>
  <si>
    <t>Plany zagospodarowania przestrzennego</t>
  </si>
  <si>
    <t>75022</t>
  </si>
  <si>
    <t>Rady gmin (miast i miast na prawach powiatu)</t>
  </si>
  <si>
    <t xml:space="preserve">Urzędy naczelnych organów władzy państwowej,
kontroli i ochrony prawa </t>
  </si>
  <si>
    <t>75405</t>
  </si>
  <si>
    <t>Komendy powiatowe Policji</t>
  </si>
  <si>
    <t>75412</t>
  </si>
  <si>
    <t>Ochotnicze straże pożarne</t>
  </si>
  <si>
    <t>75495</t>
  </si>
  <si>
    <t>90019</t>
  </si>
  <si>
    <t>75478</t>
  </si>
  <si>
    <t>Usuwanie skutków klęsk żywiołowych</t>
  </si>
  <si>
    <t>Wpływy do budżetu pozostałości środków finansowych gromadzonych na wydzielonym rachunku jednostki budżetowej</t>
  </si>
  <si>
    <t>różnica (Rb 27 - zestawienie) dochody bieżące</t>
  </si>
  <si>
    <t xml:space="preserve">    - wpływ pozostałości środków z rachunku dochodów własnych jednostek</t>
  </si>
  <si>
    <t>DOCHODY OD OSÓB PRAWNYCH, OD OSÓB FIZYCZNYCH I OD INNYCH JEDNOSTEK NIEPOSIADAJĄCYCH OSOBOWOŚCI PRAWNEJ ORAZ WYDATKI ZWIĄZANE Z ICH POBOREM</t>
  </si>
  <si>
    <t>Zasiłki stałe</t>
  </si>
  <si>
    <t xml:space="preserve">    - od posiadania psów</t>
  </si>
  <si>
    <t>Prowadzenie schroniska dla zwierząt</t>
  </si>
  <si>
    <t>75647</t>
  </si>
  <si>
    <t>Pobór podatków, opłat i niepodatkowych należności budżetowych</t>
  </si>
  <si>
    <t>Podatek od towarów i usług (VAT)</t>
  </si>
  <si>
    <t>OBSŁUGA DŁUGU PUBLICZNEGO</t>
  </si>
  <si>
    <t>75702</t>
  </si>
  <si>
    <t xml:space="preserve">ZAKŁAD GOSPODARKI MIESZKANIOWEJ </t>
  </si>
  <si>
    <t>Rozdział 70001</t>
  </si>
  <si>
    <t>Rozdział 92605</t>
  </si>
  <si>
    <t>Rozdział 92109</t>
  </si>
  <si>
    <t>Obsługa papierów wartościowych, kredytów 
i pożyczek jednostek samorządu terytorialnego</t>
  </si>
  <si>
    <t>80102</t>
  </si>
  <si>
    <t>Szkoły podstawowe specjalne</t>
  </si>
  <si>
    <t>Kwalifikacja wojskowa</t>
  </si>
  <si>
    <t>80104</t>
  </si>
  <si>
    <t>Przedszkola</t>
  </si>
  <si>
    <t xml:space="preserve">Wartość wydatków </t>
  </si>
  <si>
    <t>Ośrodek Rehabilitacyjno-Edukacyjno-Wychowawczy Polskiego Stowarzyszenia na Rzecz Osób z Upośledzeniem Umysłowym Koło w Świnoujściu</t>
  </si>
  <si>
    <t>80111</t>
  </si>
  <si>
    <t>Gimnazja specjalne</t>
  </si>
  <si>
    <t>Inne koszty rodzajowe</t>
  </si>
  <si>
    <t xml:space="preserve">Licea ogólnokształcące </t>
  </si>
  <si>
    <t>80134</t>
  </si>
  <si>
    <t>Szkoły zawodowe specjalne</t>
  </si>
  <si>
    <t>80140</t>
  </si>
  <si>
    <t>Centra kształcenia ustawicznego i praktycznego 
oraz ośrodki dokształcania zawodowego</t>
  </si>
  <si>
    <t>80146</t>
  </si>
  <si>
    <t>Dokształcanie i doskonalenie nauczycieli</t>
  </si>
  <si>
    <t>80195</t>
  </si>
  <si>
    <t>85111</t>
  </si>
  <si>
    <t>Szpitale ogólne</t>
  </si>
  <si>
    <t>85117</t>
  </si>
  <si>
    <t>Tabela nr 16</t>
  </si>
  <si>
    <t xml:space="preserve">Zużycie materiałów </t>
  </si>
  <si>
    <t>Zakłady opiekuńczo - lecznicze i pielęgnacyjno - opiekuńcze</t>
  </si>
  <si>
    <t>85149</t>
  </si>
  <si>
    <t>usługi prawno-rozliczeniowe (dot.zamówień publicznych)</t>
  </si>
  <si>
    <t>4.23</t>
  </si>
  <si>
    <t>kontrakty zakładowe lekarzy</t>
  </si>
  <si>
    <t>4.24</t>
  </si>
  <si>
    <t>kontrakty pielęgniarskie</t>
  </si>
  <si>
    <t>4.25</t>
  </si>
  <si>
    <t>kontrakty terapeutów OTU rehabilitacja osób z afazą, psycholog, szkolenia terapeutów</t>
  </si>
  <si>
    <t>4.26</t>
  </si>
  <si>
    <t>kontrakt - zorganizowanie i kierowanie laboratorium</t>
  </si>
  <si>
    <t>4.27</t>
  </si>
  <si>
    <t>kontrakt - zarządzanie szpitalem</t>
  </si>
  <si>
    <t>4.28</t>
  </si>
  <si>
    <t>usługi bankowe (w tym opłaty za przelewy)</t>
  </si>
  <si>
    <t>4.29</t>
  </si>
  <si>
    <t>badanie i ogłaszanie sprawozdania finansowego</t>
  </si>
  <si>
    <t>4.30</t>
  </si>
  <si>
    <t>pozostałe usługi (w tym: dzierżawa radiotelefonów, pomiar dozometryczny, certyfikat podpis elektroniczny, sekcja i czynności przy sekcji oraz pozostałóe drobne usługi)</t>
  </si>
  <si>
    <t>WYNAGRODZENIA</t>
  </si>
  <si>
    <t>osobowy fundusz płac</t>
  </si>
  <si>
    <t>bezosobowy fundusz płac (umowy zlecenia i o dzieło)</t>
  </si>
  <si>
    <t>NARZUTY NA WYNAGRODZENIA</t>
  </si>
  <si>
    <t>ŚWIADCZENIA NA RZECZ PRACOWNIKÓW</t>
  </si>
  <si>
    <t>7.1</t>
  </si>
  <si>
    <t>odpis na zakładowy fundusz świadczeń socjalnych</t>
  </si>
  <si>
    <t>inwestycje (bez programów unijnych)</t>
  </si>
  <si>
    <t>różnica:</t>
  </si>
  <si>
    <t>z § 285, 296, 300</t>
  </si>
  <si>
    <t>- dotacje i subwencje (wpłata na rzecz izb rolniczych)</t>
  </si>
  <si>
    <t>- dotacje i subwencje (przelewy redystrybucyjne)</t>
  </si>
  <si>
    <t>- dotacje i subwencje (wpłaty na państwowy fundusz celowy)</t>
  </si>
  <si>
    <t>Obrona narodowa</t>
  </si>
  <si>
    <t>plan z zarz na 30VI</t>
  </si>
  <si>
    <t>§236</t>
  </si>
  <si>
    <t>Gimnazjum dla Dorosłych "Żak"</t>
  </si>
  <si>
    <t>Liceum Ogólnokształcące "Hossa" Centrum Edukacji i Wspierania Przedsiębiorczości Szczecińskiej Fundacji "Talent-Promocja-Postęp"</t>
  </si>
  <si>
    <t>Prywatne Liceum Ogólnokształcące dla Dorosłych "Twoja Szkoła"</t>
  </si>
  <si>
    <t>Liceum Ogólnokształcące dla Dorosłych "Żak"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</si>
</sst>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_ ;\-#,##0\ "/>
    <numFmt numFmtId="166" formatCode="0.0"/>
    <numFmt numFmtId="167" formatCode="#,##0.0\ _z_ł"/>
    <numFmt numFmtId="168" formatCode="#,##0.0"/>
    <numFmt numFmtId="169" formatCode="_-* #,##0.0\ _z_ł_-;\-* #,##0.0\ _z_ł_-;_-* &quot;-&quot;?\ _z_ł_-;_-@_-"/>
  </numFmts>
  <fonts count="113">
    <font>
      <sz val="10"/>
      <name val="Arial CE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18"/>
      <name val="Times New Roman"/>
      <family val="1"/>
    </font>
    <font>
      <i/>
      <sz val="10"/>
      <color indexed="18"/>
      <name val="Times New Roman"/>
      <family val="1"/>
    </font>
    <font>
      <sz val="9"/>
      <color indexed="18"/>
      <name val="Times New Roman"/>
      <family val="1"/>
    </font>
    <font>
      <b/>
      <sz val="10"/>
      <color indexed="18"/>
      <name val="Times New Roman"/>
      <family val="1"/>
    </font>
    <font>
      <u val="single"/>
      <sz val="10"/>
      <color indexed="18"/>
      <name val="Times New Roman"/>
      <family val="1"/>
    </font>
    <font>
      <b/>
      <i/>
      <sz val="10"/>
      <color indexed="18"/>
      <name val="Times New Roman"/>
      <family val="1"/>
    </font>
    <font>
      <b/>
      <i/>
      <sz val="8"/>
      <color indexed="1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9"/>
      <name val="Times New Roman"/>
      <family val="1"/>
    </font>
    <font>
      <i/>
      <u val="single"/>
      <sz val="10"/>
      <name val="Times New Roman"/>
      <family val="1"/>
    </font>
    <font>
      <b/>
      <u val="single"/>
      <sz val="10"/>
      <name val="Times New Roman"/>
      <family val="1"/>
    </font>
    <font>
      <sz val="8"/>
      <name val="Times New Roman"/>
      <family val="1"/>
    </font>
    <font>
      <b/>
      <i/>
      <u val="single"/>
      <sz val="10"/>
      <name val="Times New Roman"/>
      <family val="1"/>
    </font>
    <font>
      <b/>
      <i/>
      <sz val="14"/>
      <name val="Times New Roman"/>
      <family val="1"/>
    </font>
    <font>
      <i/>
      <sz val="9"/>
      <name val="Times New Roman"/>
      <family val="1"/>
    </font>
    <font>
      <i/>
      <sz val="8"/>
      <name val="Arial CE"/>
      <family val="0"/>
    </font>
    <font>
      <b/>
      <sz val="9"/>
      <name val="Times New Roman"/>
      <family val="1"/>
    </font>
    <font>
      <vertAlign val="superscript"/>
      <sz val="10"/>
      <name val="Times New Roman"/>
      <family val="1"/>
    </font>
    <font>
      <b/>
      <sz val="6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zcionka tekstu podstawowego"/>
      <family val="2"/>
    </font>
    <font>
      <u val="single"/>
      <sz val="10"/>
      <color indexed="17"/>
      <name val="Times New Roman"/>
      <family val="1"/>
    </font>
    <font>
      <i/>
      <sz val="10"/>
      <color indexed="17"/>
      <name val="Times New Roman"/>
      <family val="1"/>
    </font>
    <font>
      <b/>
      <i/>
      <sz val="10"/>
      <color indexed="17"/>
      <name val="Times New Roman"/>
      <family val="1"/>
    </font>
    <font>
      <b/>
      <i/>
      <sz val="8"/>
      <color indexed="17"/>
      <name val="Times New Roman"/>
      <family val="1"/>
    </font>
    <font>
      <sz val="10"/>
      <color indexed="17"/>
      <name val="Times New Roman"/>
      <family val="1"/>
    </font>
    <font>
      <b/>
      <i/>
      <sz val="10"/>
      <color indexed="36"/>
      <name val="Times New Roman"/>
      <family val="1"/>
    </font>
    <font>
      <i/>
      <sz val="10"/>
      <color indexed="10"/>
      <name val="Times New Roman"/>
      <family val="1"/>
    </font>
    <font>
      <b/>
      <sz val="10"/>
      <color indexed="62"/>
      <name val="Times New Roman"/>
      <family val="1"/>
    </font>
    <font>
      <sz val="10"/>
      <color indexed="62"/>
      <name val="Times New Roman"/>
      <family val="1"/>
    </font>
    <font>
      <i/>
      <sz val="10"/>
      <color indexed="62"/>
      <name val="Times New Roman"/>
      <family val="1"/>
    </font>
    <font>
      <i/>
      <sz val="8"/>
      <color indexed="62"/>
      <name val="Times New Roman"/>
      <family val="1"/>
    </font>
    <font>
      <i/>
      <sz val="8"/>
      <color indexed="62"/>
      <name val="Arial CE"/>
      <family val="0"/>
    </font>
    <font>
      <b/>
      <i/>
      <sz val="10"/>
      <color indexed="62"/>
      <name val="Times New Roman"/>
      <family val="1"/>
    </font>
    <font>
      <sz val="9"/>
      <color indexed="62"/>
      <name val="Times New Roman"/>
      <family val="1"/>
    </font>
    <font>
      <b/>
      <sz val="9"/>
      <color indexed="62"/>
      <name val="Times New Roman"/>
      <family val="1"/>
    </font>
    <font>
      <b/>
      <sz val="10"/>
      <color indexed="17"/>
      <name val="Times New Roman"/>
      <family val="1"/>
    </font>
    <font>
      <b/>
      <i/>
      <sz val="8"/>
      <color indexed="62"/>
      <name val="Times New Roman"/>
      <family val="1"/>
    </font>
    <font>
      <i/>
      <sz val="8"/>
      <color indexed="17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9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i/>
      <sz val="8"/>
      <color indexed="8"/>
      <name val="Times New Roman"/>
      <family val="1"/>
    </font>
    <font>
      <u val="single"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48"/>
      <name val="Times New Roman"/>
      <family val="1"/>
    </font>
    <font>
      <sz val="10"/>
      <color indexed="48"/>
      <name val="Times New Roman"/>
      <family val="1"/>
    </font>
    <font>
      <i/>
      <sz val="10"/>
      <color indexed="57"/>
      <name val="Times New Roman"/>
      <family val="1"/>
    </font>
    <font>
      <sz val="10"/>
      <color indexed="21"/>
      <name val="Times New Roman"/>
      <family val="1"/>
    </font>
    <font>
      <i/>
      <sz val="9"/>
      <color indexed="10"/>
      <name val="Times New Roman"/>
      <family val="1"/>
    </font>
    <font>
      <b/>
      <sz val="12"/>
      <name val="Arial CE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2"/>
      <color indexed="18"/>
      <name val="Arial"/>
      <family val="2"/>
    </font>
    <font>
      <b/>
      <sz val="12"/>
      <color indexed="18"/>
      <name val="Arial"/>
      <family val="2"/>
    </font>
    <font>
      <sz val="9"/>
      <color indexed="18"/>
      <name val="Arial"/>
      <family val="2"/>
    </font>
    <font>
      <b/>
      <sz val="9"/>
      <color indexed="1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/>
    </border>
    <border>
      <left style="medium"/>
      <right style="thin"/>
      <top/>
      <bottom/>
    </border>
    <border>
      <left/>
      <right style="medium"/>
      <top/>
      <bottom/>
    </border>
    <border>
      <left style="medium"/>
      <right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/>
      <top style="thin"/>
      <bottom style="medium"/>
    </border>
    <border>
      <left style="thin"/>
      <right style="medium"/>
      <top/>
      <bottom style="medium"/>
    </border>
    <border>
      <left style="thin"/>
      <right style="medium"/>
      <top/>
      <bottom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thin"/>
      <top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thin"/>
      <right style="thin"/>
      <top/>
      <bottom style="double"/>
    </border>
    <border>
      <left style="thin"/>
      <right style="medium"/>
      <top style="medium"/>
      <bottom/>
    </border>
    <border>
      <left/>
      <right style="thin"/>
      <top style="thin"/>
      <bottom style="medium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 style="thin"/>
      <right/>
      <top/>
      <bottom style="hair"/>
    </border>
    <border>
      <left style="medium"/>
      <right/>
      <top style="thin"/>
      <bottom style="hair"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/>
      <right style="medium"/>
      <top style="thin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 style="thin"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 style="thin"/>
      <top/>
      <bottom style="medium"/>
    </border>
    <border>
      <left/>
      <right/>
      <top style="medium"/>
      <bottom/>
    </border>
    <border>
      <left style="medium"/>
      <right/>
      <top style="thin"/>
      <bottom style="double"/>
    </border>
    <border>
      <left/>
      <right style="thin"/>
      <top style="thin"/>
      <bottom style="double"/>
    </border>
    <border>
      <left/>
      <right style="thin"/>
      <top style="thin"/>
      <bottom/>
    </border>
    <border>
      <left/>
      <right style="medium"/>
      <top/>
      <bottom style="medium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6" fillId="2" borderId="0" applyNumberFormat="0" applyBorder="0" applyAlignment="0" applyProtection="0"/>
    <xf numFmtId="0" fontId="96" fillId="3" borderId="0" applyNumberFormat="0" applyBorder="0" applyAlignment="0" applyProtection="0"/>
    <xf numFmtId="0" fontId="96" fillId="4" borderId="0" applyNumberFormat="0" applyBorder="0" applyAlignment="0" applyProtection="0"/>
    <xf numFmtId="0" fontId="96" fillId="5" borderId="0" applyNumberFormat="0" applyBorder="0" applyAlignment="0" applyProtection="0"/>
    <xf numFmtId="0" fontId="96" fillId="6" borderId="0" applyNumberFormat="0" applyBorder="0" applyAlignment="0" applyProtection="0"/>
    <xf numFmtId="0" fontId="96" fillId="7" borderId="0" applyNumberFormat="0" applyBorder="0" applyAlignment="0" applyProtection="0"/>
    <xf numFmtId="0" fontId="96" fillId="8" borderId="0" applyNumberFormat="0" applyBorder="0" applyAlignment="0" applyProtection="0"/>
    <xf numFmtId="0" fontId="96" fillId="9" borderId="0" applyNumberFormat="0" applyBorder="0" applyAlignment="0" applyProtection="0"/>
    <xf numFmtId="0" fontId="96" fillId="10" borderId="0" applyNumberFormat="0" applyBorder="0" applyAlignment="0" applyProtection="0"/>
    <xf numFmtId="0" fontId="96" fillId="11" borderId="0" applyNumberFormat="0" applyBorder="0" applyAlignment="0" applyProtection="0"/>
    <xf numFmtId="0" fontId="96" fillId="12" borderId="0" applyNumberFormat="0" applyBorder="0" applyAlignment="0" applyProtection="0"/>
    <xf numFmtId="0" fontId="96" fillId="13" borderId="0" applyNumberFormat="0" applyBorder="0" applyAlignment="0" applyProtection="0"/>
    <xf numFmtId="0" fontId="97" fillId="14" borderId="0" applyNumberFormat="0" applyBorder="0" applyAlignment="0" applyProtection="0"/>
    <xf numFmtId="0" fontId="97" fillId="15" borderId="0" applyNumberFormat="0" applyBorder="0" applyAlignment="0" applyProtection="0"/>
    <xf numFmtId="0" fontId="97" fillId="16" borderId="0" applyNumberFormat="0" applyBorder="0" applyAlignment="0" applyProtection="0"/>
    <xf numFmtId="0" fontId="97" fillId="17" borderId="0" applyNumberFormat="0" applyBorder="0" applyAlignment="0" applyProtection="0"/>
    <xf numFmtId="0" fontId="97" fillId="18" borderId="0" applyNumberFormat="0" applyBorder="0" applyAlignment="0" applyProtection="0"/>
    <xf numFmtId="0" fontId="97" fillId="19" borderId="0" applyNumberFormat="0" applyBorder="0" applyAlignment="0" applyProtection="0"/>
    <xf numFmtId="0" fontId="97" fillId="20" borderId="0" applyNumberFormat="0" applyBorder="0" applyAlignment="0" applyProtection="0"/>
    <xf numFmtId="0" fontId="97" fillId="21" borderId="0" applyNumberFormat="0" applyBorder="0" applyAlignment="0" applyProtection="0"/>
    <xf numFmtId="0" fontId="97" fillId="22" borderId="0" applyNumberFormat="0" applyBorder="0" applyAlignment="0" applyProtection="0"/>
    <xf numFmtId="0" fontId="97" fillId="23" borderId="0" applyNumberFormat="0" applyBorder="0" applyAlignment="0" applyProtection="0"/>
    <xf numFmtId="0" fontId="97" fillId="24" borderId="0" applyNumberFormat="0" applyBorder="0" applyAlignment="0" applyProtection="0"/>
    <xf numFmtId="0" fontId="97" fillId="25" borderId="0" applyNumberFormat="0" applyBorder="0" applyAlignment="0" applyProtection="0"/>
    <xf numFmtId="0" fontId="98" fillId="26" borderId="1" applyNumberFormat="0" applyAlignment="0" applyProtection="0"/>
    <xf numFmtId="0" fontId="99" fillId="27" borderId="2" applyNumberFormat="0" applyAlignment="0" applyProtection="0"/>
    <xf numFmtId="0" fontId="10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01" fillId="0" borderId="3" applyNumberFormat="0" applyFill="0" applyAlignment="0" applyProtection="0"/>
    <xf numFmtId="0" fontId="102" fillId="29" borderId="4" applyNumberFormat="0" applyAlignment="0" applyProtection="0"/>
    <xf numFmtId="0" fontId="103" fillId="0" borderId="5" applyNumberFormat="0" applyFill="0" applyAlignment="0" applyProtection="0"/>
    <xf numFmtId="0" fontId="104" fillId="0" borderId="6" applyNumberFormat="0" applyFill="0" applyAlignment="0" applyProtection="0"/>
    <xf numFmtId="0" fontId="105" fillId="0" borderId="7" applyNumberFormat="0" applyFill="0" applyAlignment="0" applyProtection="0"/>
    <xf numFmtId="0" fontId="105" fillId="0" borderId="0" applyNumberFormat="0" applyFill="0" applyBorder="0" applyAlignment="0" applyProtection="0"/>
    <xf numFmtId="0" fontId="106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 applyProtection="0">
      <alignment/>
    </xf>
    <xf numFmtId="0" fontId="31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7" fillId="27" borderId="1" applyNumberFormat="0" applyAlignment="0" applyProtection="0"/>
    <xf numFmtId="9" fontId="0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8" fillId="0" borderId="8" applyNumberFormat="0" applyFill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2" fillId="32" borderId="0" applyNumberFormat="0" applyBorder="0" applyAlignment="0" applyProtection="0"/>
  </cellStyleXfs>
  <cellXfs count="221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4" fontId="3" fillId="0" borderId="10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4" fontId="7" fillId="0" borderId="1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49" fontId="3" fillId="0" borderId="10" xfId="0" applyNumberFormat="1" applyFont="1" applyBorder="1" applyAlignment="1">
      <alignment vertical="center" wrapText="1"/>
    </xf>
    <xf numFmtId="4" fontId="4" fillId="0" borderId="10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vertical="center" wrapText="1"/>
    </xf>
    <xf numFmtId="0" fontId="4" fillId="0" borderId="0" xfId="0" applyFont="1" applyAlignment="1">
      <alignment vertical="center"/>
    </xf>
    <xf numFmtId="49" fontId="3" fillId="0" borderId="10" xfId="0" applyNumberFormat="1" applyFont="1" applyBorder="1" applyAlignment="1">
      <alignment vertical="center"/>
    </xf>
    <xf numFmtId="49" fontId="4" fillId="0" borderId="10" xfId="0" applyNumberFormat="1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vertical="center" wrapText="1"/>
    </xf>
    <xf numFmtId="4" fontId="7" fillId="0" borderId="10" xfId="0" applyNumberFormat="1" applyFont="1" applyFill="1" applyBorder="1" applyAlignment="1">
      <alignment vertical="center"/>
    </xf>
    <xf numFmtId="166" fontId="7" fillId="0" borderId="12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166" fontId="4" fillId="0" borderId="12" xfId="0" applyNumberFormat="1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49" fontId="8" fillId="0" borderId="11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vertical="center" wrapText="1"/>
    </xf>
    <xf numFmtId="4" fontId="9" fillId="0" borderId="10" xfId="0" applyNumberFormat="1" applyFont="1" applyFill="1" applyBorder="1" applyAlignment="1">
      <alignment vertical="center"/>
    </xf>
    <xf numFmtId="166" fontId="9" fillId="0" borderId="12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left" vertical="center" wrapText="1"/>
    </xf>
    <xf numFmtId="166" fontId="3" fillId="0" borderId="12" xfId="0" applyNumberFormat="1" applyFont="1" applyBorder="1" applyAlignment="1">
      <alignment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vertical="center" wrapText="1"/>
    </xf>
    <xf numFmtId="166" fontId="7" fillId="0" borderId="12" xfId="0" applyNumberFormat="1" applyFont="1" applyBorder="1" applyAlignment="1">
      <alignment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166" fontId="4" fillId="0" borderId="12" xfId="0" applyNumberFormat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vertical="center" wrapText="1"/>
    </xf>
    <xf numFmtId="4" fontId="9" fillId="0" borderId="10" xfId="0" applyNumberFormat="1" applyFont="1" applyBorder="1" applyAlignment="1">
      <alignment vertical="center"/>
    </xf>
    <xf numFmtId="166" fontId="9" fillId="0" borderId="12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49" fontId="8" fillId="0" borderId="13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4" fillId="33" borderId="10" xfId="0" applyNumberFormat="1" applyFont="1" applyFill="1" applyBorder="1" applyAlignment="1">
      <alignment vertical="center" wrapText="1"/>
    </xf>
    <xf numFmtId="4" fontId="4" fillId="33" borderId="10" xfId="0" applyNumberFormat="1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49" fontId="8" fillId="33" borderId="11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/>
    </xf>
    <xf numFmtId="49" fontId="9" fillId="33" borderId="10" xfId="0" applyNumberFormat="1" applyFont="1" applyFill="1" applyBorder="1" applyAlignment="1">
      <alignment vertical="center" wrapText="1"/>
    </xf>
    <xf numFmtId="4" fontId="9" fillId="33" borderId="10" xfId="0" applyNumberFormat="1" applyFont="1" applyFill="1" applyBorder="1" applyAlignment="1">
      <alignment vertical="center"/>
    </xf>
    <xf numFmtId="49" fontId="4" fillId="33" borderId="13" xfId="0" applyNumberFormat="1" applyFont="1" applyFill="1" applyBorder="1" applyAlignment="1">
      <alignment horizontal="center" vertical="center"/>
    </xf>
    <xf numFmtId="49" fontId="4" fillId="33" borderId="14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10" fillId="0" borderId="0" xfId="64" applyFont="1" applyAlignment="1">
      <alignment vertical="center"/>
      <protection/>
    </xf>
    <xf numFmtId="0" fontId="11" fillId="0" borderId="0" xfId="64" applyFont="1" applyAlignment="1">
      <alignment horizontal="center" vertical="center" wrapText="1"/>
      <protection/>
    </xf>
    <xf numFmtId="0" fontId="10" fillId="0" borderId="0" xfId="64" applyFont="1" applyAlignment="1">
      <alignment horizontal="center" vertical="center"/>
      <protection/>
    </xf>
    <xf numFmtId="0" fontId="10" fillId="0" borderId="0" xfId="64" applyFont="1" applyAlignment="1">
      <alignment horizontal="right" vertical="center"/>
      <protection/>
    </xf>
    <xf numFmtId="0" fontId="10" fillId="0" borderId="0" xfId="64" applyFont="1" applyAlignment="1">
      <alignment vertical="center" wrapText="1"/>
      <protection/>
    </xf>
    <xf numFmtId="0" fontId="11" fillId="34" borderId="15" xfId="64" applyFont="1" applyFill="1" applyBorder="1" applyAlignment="1">
      <alignment horizontal="center" vertical="center"/>
      <protection/>
    </xf>
    <xf numFmtId="0" fontId="11" fillId="34" borderId="16" xfId="64" applyFont="1" applyFill="1" applyBorder="1" applyAlignment="1">
      <alignment horizontal="center" vertical="center"/>
      <protection/>
    </xf>
    <xf numFmtId="0" fontId="11" fillId="0" borderId="0" xfId="64" applyFont="1" applyAlignment="1">
      <alignment vertical="center"/>
      <protection/>
    </xf>
    <xf numFmtId="0" fontId="12" fillId="34" borderId="17" xfId="64" applyFont="1" applyFill="1" applyBorder="1" applyAlignment="1">
      <alignment horizontal="center" vertical="center" wrapText="1"/>
      <protection/>
    </xf>
    <xf numFmtId="0" fontId="12" fillId="34" borderId="15" xfId="64" applyFont="1" applyFill="1" applyBorder="1" applyAlignment="1">
      <alignment horizontal="center" vertical="center" wrapText="1"/>
      <protection/>
    </xf>
    <xf numFmtId="0" fontId="12" fillId="34" borderId="15" xfId="64" applyFont="1" applyFill="1" applyBorder="1" applyAlignment="1">
      <alignment horizontal="center" vertical="center"/>
      <protection/>
    </xf>
    <xf numFmtId="0" fontId="12" fillId="34" borderId="16" xfId="64" applyFont="1" applyFill="1" applyBorder="1" applyAlignment="1">
      <alignment horizontal="center" vertical="center"/>
      <protection/>
    </xf>
    <xf numFmtId="0" fontId="12" fillId="0" borderId="0" xfId="64" applyFont="1" applyAlignment="1">
      <alignment vertical="center"/>
      <protection/>
    </xf>
    <xf numFmtId="0" fontId="10" fillId="0" borderId="17" xfId="64" applyFont="1" applyFill="1" applyBorder="1" applyAlignment="1">
      <alignment horizontal="center" vertical="center"/>
      <protection/>
    </xf>
    <xf numFmtId="49" fontId="10" fillId="0" borderId="15" xfId="64" applyNumberFormat="1" applyFont="1" applyFill="1" applyBorder="1" applyAlignment="1">
      <alignment horizontal="center" vertical="center"/>
      <protection/>
    </xf>
    <xf numFmtId="4" fontId="10" fillId="0" borderId="15" xfId="64" applyNumberFormat="1" applyFont="1" applyFill="1" applyBorder="1" applyAlignment="1">
      <alignment vertical="center"/>
      <protection/>
    </xf>
    <xf numFmtId="4" fontId="10" fillId="0" borderId="16" xfId="64" applyNumberFormat="1" applyFont="1" applyFill="1" applyBorder="1" applyAlignment="1">
      <alignment vertical="center"/>
      <protection/>
    </xf>
    <xf numFmtId="0" fontId="10" fillId="35" borderId="0" xfId="64" applyFont="1" applyFill="1" applyAlignment="1">
      <alignment vertical="center"/>
      <protection/>
    </xf>
    <xf numFmtId="4" fontId="10" fillId="35" borderId="0" xfId="64" applyNumberFormat="1" applyFont="1" applyFill="1" applyAlignment="1">
      <alignment vertical="center"/>
      <protection/>
    </xf>
    <xf numFmtId="0" fontId="11" fillId="35" borderId="0" xfId="64" applyFont="1" applyFill="1" applyAlignment="1">
      <alignment vertical="center"/>
      <protection/>
    </xf>
    <xf numFmtId="0" fontId="11" fillId="35" borderId="15" xfId="64" applyFont="1" applyFill="1" applyBorder="1" applyAlignment="1">
      <alignment horizontal="center" vertical="center"/>
      <protection/>
    </xf>
    <xf numFmtId="0" fontId="11" fillId="35" borderId="16" xfId="64" applyFont="1" applyFill="1" applyBorder="1" applyAlignment="1">
      <alignment horizontal="center" vertical="center"/>
      <protection/>
    </xf>
    <xf numFmtId="0" fontId="11" fillId="35" borderId="17" xfId="64" applyFont="1" applyFill="1" applyBorder="1" applyAlignment="1">
      <alignment horizontal="center" vertical="center" wrapText="1"/>
      <protection/>
    </xf>
    <xf numFmtId="0" fontId="11" fillId="35" borderId="15" xfId="64" applyFont="1" applyFill="1" applyBorder="1" applyAlignment="1">
      <alignment horizontal="center" vertical="center" wrapText="1"/>
      <protection/>
    </xf>
    <xf numFmtId="0" fontId="10" fillId="0" borderId="18" xfId="64" applyFont="1" applyFill="1" applyBorder="1" applyAlignment="1">
      <alignment horizontal="center" vertical="center"/>
      <protection/>
    </xf>
    <xf numFmtId="4" fontId="11" fillId="36" borderId="15" xfId="64" applyNumberFormat="1" applyFont="1" applyFill="1" applyBorder="1" applyAlignment="1">
      <alignment vertical="center"/>
      <protection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0" fillId="0" borderId="15" xfId="0" applyFont="1" applyBorder="1" applyAlignment="1">
      <alignment vertical="center" wrapText="1"/>
    </xf>
    <xf numFmtId="0" fontId="13" fillId="0" borderId="0" xfId="0" applyFont="1" applyAlignment="1">
      <alignment vertical="center"/>
    </xf>
    <xf numFmtId="0" fontId="10" fillId="0" borderId="10" xfId="0" applyFont="1" applyFill="1" applyBorder="1" applyAlignment="1">
      <alignment vertical="top" wrapText="1"/>
    </xf>
    <xf numFmtId="4" fontId="11" fillId="36" borderId="19" xfId="0" applyNumberFormat="1" applyFont="1" applyFill="1" applyBorder="1" applyAlignment="1">
      <alignment vertical="center"/>
    </xf>
    <xf numFmtId="4" fontId="11" fillId="36" borderId="15" xfId="0" applyNumberFormat="1" applyFont="1" applyFill="1" applyBorder="1" applyAlignment="1">
      <alignment vertical="center"/>
    </xf>
    <xf numFmtId="4" fontId="10" fillId="0" borderId="10" xfId="0" applyNumberFormat="1" applyFont="1" applyBorder="1" applyAlignment="1">
      <alignment vertical="center"/>
    </xf>
    <xf numFmtId="49" fontId="10" fillId="0" borderId="10" xfId="0" applyNumberFormat="1" applyFont="1" applyBorder="1" applyAlignment="1">
      <alignment vertical="center" wrapText="1"/>
    </xf>
    <xf numFmtId="4" fontId="15" fillId="0" borderId="10" xfId="0" applyNumberFormat="1" applyFont="1" applyBorder="1" applyAlignment="1">
      <alignment vertical="center"/>
    </xf>
    <xf numFmtId="0" fontId="15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166" fontId="11" fillId="36" borderId="20" xfId="0" applyNumberFormat="1" applyFont="1" applyFill="1" applyBorder="1" applyAlignment="1">
      <alignment vertical="center"/>
    </xf>
    <xf numFmtId="49" fontId="11" fillId="0" borderId="11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vertical="center" wrapText="1"/>
    </xf>
    <xf numFmtId="4" fontId="11" fillId="0" borderId="10" xfId="0" applyNumberFormat="1" applyFont="1" applyFill="1" applyBorder="1" applyAlignment="1">
      <alignment vertical="center"/>
    </xf>
    <xf numFmtId="166" fontId="11" fillId="0" borderId="12" xfId="0" applyNumberFormat="1" applyFont="1" applyFill="1" applyBorder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49" fontId="10" fillId="0" borderId="11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vertical="center" wrapText="1"/>
    </xf>
    <xf numFmtId="4" fontId="10" fillId="0" borderId="10" xfId="0" applyNumberFormat="1" applyFont="1" applyFill="1" applyBorder="1" applyAlignment="1">
      <alignment vertical="center"/>
    </xf>
    <xf numFmtId="166" fontId="10" fillId="0" borderId="12" xfId="0" applyNumberFormat="1" applyFont="1" applyFill="1" applyBorder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49" fontId="15" fillId="0" borderId="11" xfId="0" applyNumberFormat="1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vertical="center" wrapText="1"/>
    </xf>
    <xf numFmtId="4" fontId="15" fillId="0" borderId="10" xfId="0" applyNumberFormat="1" applyFont="1" applyFill="1" applyBorder="1" applyAlignment="1">
      <alignment vertical="center"/>
    </xf>
    <xf numFmtId="166" fontId="15" fillId="0" borderId="12" xfId="0" applyNumberFormat="1" applyFont="1" applyFill="1" applyBorder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vertical="center"/>
    </xf>
    <xf numFmtId="49" fontId="13" fillId="0" borderId="11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vertical="center" wrapText="1"/>
    </xf>
    <xf numFmtId="4" fontId="13" fillId="0" borderId="10" xfId="0" applyNumberFormat="1" applyFont="1" applyFill="1" applyBorder="1" applyAlignment="1">
      <alignment vertical="center"/>
    </xf>
    <xf numFmtId="166" fontId="13" fillId="0" borderId="12" xfId="0" applyNumberFormat="1" applyFont="1" applyFill="1" applyBorder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vertical="center"/>
    </xf>
    <xf numFmtId="49" fontId="14" fillId="0" borderId="11" xfId="0" applyNumberFormat="1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center" vertical="center"/>
    </xf>
    <xf numFmtId="49" fontId="17" fillId="0" borderId="10" xfId="0" applyNumberFormat="1" applyFont="1" applyFill="1" applyBorder="1" applyAlignment="1">
      <alignment vertical="center" wrapText="1"/>
    </xf>
    <xf numFmtId="4" fontId="17" fillId="0" borderId="10" xfId="0" applyNumberFormat="1" applyFont="1" applyFill="1" applyBorder="1" applyAlignment="1">
      <alignment vertical="center"/>
    </xf>
    <xf numFmtId="166" fontId="17" fillId="0" borderId="12" xfId="0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0" fillId="0" borderId="10" xfId="0" applyFont="1" applyFill="1" applyBorder="1" applyAlignment="1">
      <alignment vertical="center" wrapText="1"/>
    </xf>
    <xf numFmtId="49" fontId="19" fillId="0" borderId="11" xfId="0" applyNumberFormat="1" applyFont="1" applyFill="1" applyBorder="1" applyAlignment="1">
      <alignment horizontal="center" vertical="center"/>
    </xf>
    <xf numFmtId="49" fontId="19" fillId="0" borderId="10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49" fontId="10" fillId="0" borderId="10" xfId="0" applyNumberFormat="1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49" fontId="11" fillId="0" borderId="10" xfId="0" applyNumberFormat="1" applyFont="1" applyFill="1" applyBorder="1" applyAlignment="1">
      <alignment vertical="center"/>
    </xf>
    <xf numFmtId="49" fontId="11" fillId="0" borderId="11" xfId="0" applyNumberFormat="1" applyFont="1" applyFill="1" applyBorder="1" applyAlignment="1">
      <alignment horizontal="center" vertical="center" wrapText="1"/>
    </xf>
    <xf numFmtId="49" fontId="32" fillId="0" borderId="11" xfId="0" applyNumberFormat="1" applyFont="1" applyFill="1" applyBorder="1" applyAlignment="1">
      <alignment horizontal="center" vertical="center"/>
    </xf>
    <xf numFmtId="49" fontId="32" fillId="0" borderId="10" xfId="0" applyNumberFormat="1" applyFont="1" applyFill="1" applyBorder="1" applyAlignment="1">
      <alignment horizontal="center" vertical="center"/>
    </xf>
    <xf numFmtId="49" fontId="32" fillId="0" borderId="10" xfId="0" applyNumberFormat="1" applyFont="1" applyFill="1" applyBorder="1" applyAlignment="1">
      <alignment vertical="center" wrapText="1"/>
    </xf>
    <xf numFmtId="4" fontId="32" fillId="0" borderId="10" xfId="0" applyNumberFormat="1" applyFont="1" applyFill="1" applyBorder="1" applyAlignment="1">
      <alignment vertical="center"/>
    </xf>
    <xf numFmtId="166" fontId="32" fillId="0" borderId="12" xfId="0" applyNumberFormat="1" applyFont="1" applyFill="1" applyBorder="1" applyAlignment="1">
      <alignment vertical="center"/>
    </xf>
    <xf numFmtId="0" fontId="32" fillId="0" borderId="0" xfId="0" applyFont="1" applyFill="1" applyAlignment="1">
      <alignment vertical="center"/>
    </xf>
    <xf numFmtId="49" fontId="33" fillId="0" borderId="11" xfId="0" applyNumberFormat="1" applyFont="1" applyFill="1" applyBorder="1" applyAlignment="1">
      <alignment horizontal="center" vertical="center"/>
    </xf>
    <xf numFmtId="49" fontId="33" fillId="0" borderId="10" xfId="0" applyNumberFormat="1" applyFont="1" applyFill="1" applyBorder="1" applyAlignment="1">
      <alignment horizontal="center" vertical="center"/>
    </xf>
    <xf numFmtId="49" fontId="33" fillId="0" borderId="10" xfId="0" applyNumberFormat="1" applyFont="1" applyFill="1" applyBorder="1" applyAlignment="1">
      <alignment vertical="center" wrapText="1"/>
    </xf>
    <xf numFmtId="4" fontId="33" fillId="0" borderId="10" xfId="0" applyNumberFormat="1" applyFont="1" applyFill="1" applyBorder="1" applyAlignment="1">
      <alignment vertical="center"/>
    </xf>
    <xf numFmtId="166" fontId="33" fillId="0" borderId="12" xfId="0" applyNumberFormat="1" applyFont="1" applyFill="1" applyBorder="1" applyAlignment="1">
      <alignment vertical="center"/>
    </xf>
    <xf numFmtId="0" fontId="34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vertical="center"/>
    </xf>
    <xf numFmtId="49" fontId="10" fillId="0" borderId="13" xfId="0" applyNumberFormat="1" applyFont="1" applyFill="1" applyBorder="1" applyAlignment="1">
      <alignment horizontal="center" vertical="center"/>
    </xf>
    <xf numFmtId="49" fontId="11" fillId="0" borderId="13" xfId="0" applyNumberFormat="1" applyFont="1" applyFill="1" applyBorder="1" applyAlignment="1">
      <alignment horizontal="center" vertical="center"/>
    </xf>
    <xf numFmtId="49" fontId="13" fillId="0" borderId="13" xfId="0" applyNumberFormat="1" applyFont="1" applyFill="1" applyBorder="1" applyAlignment="1">
      <alignment horizontal="center" vertical="center"/>
    </xf>
    <xf numFmtId="49" fontId="34" fillId="0" borderId="11" xfId="0" applyNumberFormat="1" applyFont="1" applyFill="1" applyBorder="1" applyAlignment="1">
      <alignment horizontal="center" vertical="center"/>
    </xf>
    <xf numFmtId="49" fontId="34" fillId="0" borderId="10" xfId="0" applyNumberFormat="1" applyFont="1" applyFill="1" applyBorder="1" applyAlignment="1">
      <alignment horizontal="center" vertical="center"/>
    </xf>
    <xf numFmtId="4" fontId="35" fillId="0" borderId="10" xfId="0" applyNumberFormat="1" applyFont="1" applyFill="1" applyBorder="1" applyAlignment="1">
      <alignment vertical="center"/>
    </xf>
    <xf numFmtId="0" fontId="34" fillId="0" borderId="0" xfId="0" applyFont="1" applyFill="1" applyAlignment="1">
      <alignment vertical="center"/>
    </xf>
    <xf numFmtId="0" fontId="10" fillId="0" borderId="10" xfId="0" applyFont="1" applyFill="1" applyBorder="1" applyAlignment="1">
      <alignment vertical="center"/>
    </xf>
    <xf numFmtId="49" fontId="13" fillId="0" borderId="10" xfId="0" applyNumberFormat="1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49" fontId="11" fillId="0" borderId="13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right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right" vertical="center" wrapText="1"/>
    </xf>
    <xf numFmtId="0" fontId="33" fillId="0" borderId="0" xfId="0" applyFont="1" applyFill="1" applyAlignment="1">
      <alignment vertical="center"/>
    </xf>
    <xf numFmtId="49" fontId="36" fillId="0" borderId="13" xfId="0" applyNumberFormat="1" applyFont="1" applyFill="1" applyBorder="1" applyAlignment="1">
      <alignment horizontal="center" vertical="center"/>
    </xf>
    <xf numFmtId="0" fontId="36" fillId="0" borderId="0" xfId="0" applyFont="1" applyFill="1" applyAlignment="1">
      <alignment vertical="center"/>
    </xf>
    <xf numFmtId="49" fontId="32" fillId="0" borderId="11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vertical="center"/>
    </xf>
    <xf numFmtId="49" fontId="33" fillId="0" borderId="11" xfId="0" applyNumberFormat="1" applyFont="1" applyFill="1" applyBorder="1" applyAlignment="1">
      <alignment horizontal="center" vertical="center"/>
    </xf>
    <xf numFmtId="49" fontId="34" fillId="0" borderId="11" xfId="0" applyNumberFormat="1" applyFont="1" applyFill="1" applyBorder="1" applyAlignment="1">
      <alignment horizontal="center" vertical="center"/>
    </xf>
    <xf numFmtId="0" fontId="34" fillId="0" borderId="0" xfId="0" applyFont="1" applyFill="1" applyAlignment="1">
      <alignment vertical="center"/>
    </xf>
    <xf numFmtId="49" fontId="16" fillId="0" borderId="13" xfId="0" applyNumberFormat="1" applyFont="1" applyFill="1" applyBorder="1" applyAlignment="1">
      <alignment horizontal="center" vertical="center"/>
    </xf>
    <xf numFmtId="49" fontId="10" fillId="0" borderId="21" xfId="0" applyNumberFormat="1" applyFont="1" applyFill="1" applyBorder="1" applyAlignment="1">
      <alignment vertical="center"/>
    </xf>
    <xf numFmtId="4" fontId="10" fillId="0" borderId="21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>
      <alignment horizontal="left" vertical="center" wrapText="1"/>
    </xf>
    <xf numFmtId="166" fontId="19" fillId="0" borderId="12" xfId="0" applyNumberFormat="1" applyFont="1" applyFill="1" applyBorder="1" applyAlignment="1">
      <alignment vertical="center"/>
    </xf>
    <xf numFmtId="49" fontId="11" fillId="36" borderId="22" xfId="0" applyNumberFormat="1" applyFont="1" applyFill="1" applyBorder="1" applyAlignment="1">
      <alignment horizontal="center" vertical="center"/>
    </xf>
    <xf numFmtId="49" fontId="11" fillId="36" borderId="23" xfId="0" applyNumberFormat="1" applyFont="1" applyFill="1" applyBorder="1" applyAlignment="1">
      <alignment horizontal="center" vertical="center"/>
    </xf>
    <xf numFmtId="166" fontId="11" fillId="36" borderId="16" xfId="0" applyNumberFormat="1" applyFont="1" applyFill="1" applyBorder="1" applyAlignment="1">
      <alignment vertical="center"/>
    </xf>
    <xf numFmtId="49" fontId="14" fillId="0" borderId="11" xfId="0" applyNumberFormat="1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/>
    </xf>
    <xf numFmtId="49" fontId="17" fillId="0" borderId="10" xfId="0" applyNumberFormat="1" applyFont="1" applyBorder="1" applyAlignment="1">
      <alignment vertical="center" wrapText="1"/>
    </xf>
    <xf numFmtId="4" fontId="17" fillId="0" borderId="10" xfId="0" applyNumberFormat="1" applyFont="1" applyBorder="1" applyAlignment="1">
      <alignment vertical="center"/>
    </xf>
    <xf numFmtId="166" fontId="17" fillId="0" borderId="12" xfId="0" applyNumberFormat="1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49" fontId="13" fillId="0" borderId="13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left" vertical="center" wrapText="1"/>
    </xf>
    <xf numFmtId="4" fontId="13" fillId="0" borderId="10" xfId="0" applyNumberFormat="1" applyFont="1" applyBorder="1" applyAlignment="1">
      <alignment vertical="center"/>
    </xf>
    <xf numFmtId="166" fontId="13" fillId="0" borderId="12" xfId="0" applyNumberFormat="1" applyFont="1" applyBorder="1" applyAlignment="1">
      <alignment vertical="center"/>
    </xf>
    <xf numFmtId="49" fontId="11" fillId="0" borderId="11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vertical="center"/>
    </xf>
    <xf numFmtId="4" fontId="11" fillId="0" borderId="10" xfId="0" applyNumberFormat="1" applyFont="1" applyBorder="1" applyAlignment="1">
      <alignment vertical="center"/>
    </xf>
    <xf numFmtId="166" fontId="11" fillId="0" borderId="12" xfId="0" applyNumberFormat="1" applyFont="1" applyBorder="1" applyAlignment="1">
      <alignment vertical="center"/>
    </xf>
    <xf numFmtId="49" fontId="10" fillId="0" borderId="11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vertical="center"/>
    </xf>
    <xf numFmtId="166" fontId="10" fillId="0" borderId="12" xfId="0" applyNumberFormat="1" applyFont="1" applyBorder="1" applyAlignment="1">
      <alignment vertical="center"/>
    </xf>
    <xf numFmtId="49" fontId="15" fillId="0" borderId="11" xfId="0" applyNumberFormat="1" applyFont="1" applyBorder="1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/>
    </xf>
    <xf numFmtId="49" fontId="15" fillId="0" borderId="10" xfId="0" applyNumberFormat="1" applyFont="1" applyBorder="1" applyAlignment="1">
      <alignment vertical="center" wrapText="1"/>
    </xf>
    <xf numFmtId="166" fontId="15" fillId="0" borderId="12" xfId="0" applyNumberFormat="1" applyFont="1" applyBorder="1" applyAlignment="1">
      <alignment vertical="center"/>
    </xf>
    <xf numFmtId="49" fontId="13" fillId="0" borderId="11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vertical="center" wrapText="1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49" fontId="11" fillId="0" borderId="10" xfId="0" applyNumberFormat="1" applyFont="1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49" fontId="10" fillId="0" borderId="13" xfId="0" applyNumberFormat="1" applyFont="1" applyBorder="1" applyAlignment="1">
      <alignment horizontal="center" vertical="center"/>
    </xf>
    <xf numFmtId="49" fontId="32" fillId="0" borderId="11" xfId="0" applyNumberFormat="1" applyFont="1" applyBorder="1" applyAlignment="1">
      <alignment horizontal="center" vertical="center"/>
    </xf>
    <xf numFmtId="49" fontId="32" fillId="0" borderId="10" xfId="0" applyNumberFormat="1" applyFont="1" applyBorder="1" applyAlignment="1">
      <alignment horizontal="center" vertical="center"/>
    </xf>
    <xf numFmtId="49" fontId="32" fillId="0" borderId="10" xfId="0" applyNumberFormat="1" applyFont="1" applyBorder="1" applyAlignment="1">
      <alignment vertical="center" wrapText="1"/>
    </xf>
    <xf numFmtId="4" fontId="32" fillId="0" borderId="10" xfId="0" applyNumberFormat="1" applyFont="1" applyBorder="1" applyAlignment="1">
      <alignment vertical="center"/>
    </xf>
    <xf numFmtId="166" fontId="32" fillId="0" borderId="12" xfId="0" applyNumberFormat="1" applyFont="1" applyBorder="1" applyAlignment="1">
      <alignment vertical="center"/>
    </xf>
    <xf numFmtId="0" fontId="32" fillId="0" borderId="0" xfId="0" applyFont="1" applyAlignment="1">
      <alignment vertical="center"/>
    </xf>
    <xf numFmtId="49" fontId="33" fillId="0" borderId="11" xfId="0" applyNumberFormat="1" applyFont="1" applyBorder="1" applyAlignment="1">
      <alignment horizontal="center" vertical="center"/>
    </xf>
    <xf numFmtId="49" fontId="33" fillId="0" borderId="10" xfId="0" applyNumberFormat="1" applyFont="1" applyBorder="1" applyAlignment="1">
      <alignment horizontal="center" vertical="center"/>
    </xf>
    <xf numFmtId="49" fontId="33" fillId="0" borderId="10" xfId="0" applyNumberFormat="1" applyFont="1" applyBorder="1" applyAlignment="1">
      <alignment vertical="center" wrapText="1"/>
    </xf>
    <xf numFmtId="4" fontId="33" fillId="0" borderId="10" xfId="0" applyNumberFormat="1" applyFont="1" applyBorder="1" applyAlignment="1">
      <alignment vertical="center"/>
    </xf>
    <xf numFmtId="166" fontId="33" fillId="0" borderId="12" xfId="0" applyNumberFormat="1" applyFont="1" applyBorder="1" applyAlignment="1">
      <alignment vertical="center"/>
    </xf>
    <xf numFmtId="0" fontId="34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49" fontId="11" fillId="0" borderId="13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49" fontId="34" fillId="0" borderId="11" xfId="0" applyNumberFormat="1" applyFont="1" applyBorder="1" applyAlignment="1">
      <alignment horizontal="center" vertical="center"/>
    </xf>
    <xf numFmtId="49" fontId="34" fillId="0" borderId="10" xfId="0" applyNumberFormat="1" applyFont="1" applyBorder="1" applyAlignment="1">
      <alignment horizontal="center" vertical="center"/>
    </xf>
    <xf numFmtId="49" fontId="35" fillId="0" borderId="10" xfId="0" applyNumberFormat="1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49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0" fillId="0" borderId="21" xfId="0" applyFont="1" applyBorder="1" applyAlignment="1">
      <alignment vertical="center" wrapText="1"/>
    </xf>
    <xf numFmtId="4" fontId="10" fillId="0" borderId="21" xfId="0" applyNumberFormat="1" applyFont="1" applyBorder="1" applyAlignment="1">
      <alignment vertical="center"/>
    </xf>
    <xf numFmtId="49" fontId="14" fillId="0" borderId="24" xfId="0" applyNumberFormat="1" applyFont="1" applyBorder="1" applyAlignment="1">
      <alignment horizontal="center" vertical="center"/>
    </xf>
    <xf numFmtId="49" fontId="14" fillId="0" borderId="19" xfId="0" applyNumberFormat="1" applyFont="1" applyBorder="1" applyAlignment="1">
      <alignment horizontal="center" vertical="center"/>
    </xf>
    <xf numFmtId="49" fontId="17" fillId="0" borderId="19" xfId="0" applyNumberFormat="1" applyFont="1" applyBorder="1" applyAlignment="1">
      <alignment vertical="center" wrapText="1"/>
    </xf>
    <xf numFmtId="4" fontId="17" fillId="0" borderId="19" xfId="0" applyNumberFormat="1" applyFont="1" applyBorder="1" applyAlignment="1">
      <alignment vertical="center"/>
    </xf>
    <xf numFmtId="166" fontId="17" fillId="0" borderId="25" xfId="0" applyNumberFormat="1" applyFont="1" applyBorder="1" applyAlignment="1">
      <alignment vertical="center"/>
    </xf>
    <xf numFmtId="49" fontId="13" fillId="0" borderId="14" xfId="0" applyNumberFormat="1" applyFont="1" applyFill="1" applyBorder="1" applyAlignment="1">
      <alignment horizontal="center" vertical="center"/>
    </xf>
    <xf numFmtId="49" fontId="37" fillId="0" borderId="11" xfId="0" applyNumberFormat="1" applyFont="1" applyFill="1" applyBorder="1" applyAlignment="1">
      <alignment horizontal="center" vertical="center"/>
    </xf>
    <xf numFmtId="49" fontId="37" fillId="0" borderId="10" xfId="0" applyNumberFormat="1" applyFont="1" applyFill="1" applyBorder="1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0" fontId="37" fillId="0" borderId="0" xfId="0" applyFont="1" applyFill="1" applyAlignment="1">
      <alignment vertical="center"/>
    </xf>
    <xf numFmtId="49" fontId="10" fillId="0" borderId="14" xfId="0" applyNumberFormat="1" applyFont="1" applyFill="1" applyBorder="1" applyAlignment="1">
      <alignment horizontal="center" vertical="center"/>
    </xf>
    <xf numFmtId="49" fontId="11" fillId="36" borderId="26" xfId="0" applyNumberFormat="1" applyFont="1" applyFill="1" applyBorder="1" applyAlignment="1">
      <alignment vertical="center" wrapText="1"/>
    </xf>
    <xf numFmtId="49" fontId="10" fillId="0" borderId="22" xfId="0" applyNumberFormat="1" applyFont="1" applyFill="1" applyBorder="1" applyAlignment="1">
      <alignment horizontal="center" vertical="center"/>
    </xf>
    <xf numFmtId="49" fontId="10" fillId="0" borderId="27" xfId="0" applyNumberFormat="1" applyFont="1" applyFill="1" applyBorder="1" applyAlignment="1">
      <alignment horizontal="center" vertical="center"/>
    </xf>
    <xf numFmtId="49" fontId="13" fillId="0" borderId="19" xfId="0" applyNumberFormat="1" applyFont="1" applyFill="1" applyBorder="1" applyAlignment="1">
      <alignment vertical="center" wrapText="1"/>
    </xf>
    <xf numFmtId="4" fontId="13" fillId="0" borderId="19" xfId="0" applyNumberFormat="1" applyFont="1" applyFill="1" applyBorder="1" applyAlignment="1">
      <alignment vertical="center"/>
    </xf>
    <xf numFmtId="166" fontId="13" fillId="0" borderId="25" xfId="0" applyNumberFormat="1" applyFont="1" applyFill="1" applyBorder="1" applyAlignment="1">
      <alignment vertical="center"/>
    </xf>
    <xf numFmtId="49" fontId="15" fillId="33" borderId="11" xfId="0" applyNumberFormat="1" applyFont="1" applyFill="1" applyBorder="1" applyAlignment="1">
      <alignment horizontal="center" vertical="center"/>
    </xf>
    <xf numFmtId="49" fontId="15" fillId="33" borderId="10" xfId="0" applyNumberFormat="1" applyFont="1" applyFill="1" applyBorder="1" applyAlignment="1">
      <alignment horizontal="center" vertical="center"/>
    </xf>
    <xf numFmtId="49" fontId="15" fillId="33" borderId="10" xfId="0" applyNumberFormat="1" applyFont="1" applyFill="1" applyBorder="1" applyAlignment="1">
      <alignment vertical="center" wrapText="1"/>
    </xf>
    <xf numFmtId="4" fontId="15" fillId="33" borderId="10" xfId="0" applyNumberFormat="1" applyFont="1" applyFill="1" applyBorder="1" applyAlignment="1">
      <alignment vertical="center"/>
    </xf>
    <xf numFmtId="0" fontId="15" fillId="33" borderId="0" xfId="0" applyFont="1" applyFill="1" applyAlignment="1">
      <alignment horizontal="center" vertical="center"/>
    </xf>
    <xf numFmtId="0" fontId="15" fillId="33" borderId="0" xfId="0" applyFont="1" applyFill="1" applyAlignment="1">
      <alignment vertical="center"/>
    </xf>
    <xf numFmtId="49" fontId="11" fillId="33" borderId="13" xfId="0" applyNumberFormat="1" applyFont="1" applyFill="1" applyBorder="1" applyAlignment="1">
      <alignment horizontal="center" vertical="center"/>
    </xf>
    <xf numFmtId="49" fontId="11" fillId="33" borderId="14" xfId="0" applyNumberFormat="1" applyFont="1" applyFill="1" applyBorder="1" applyAlignment="1">
      <alignment horizontal="center" vertical="center"/>
    </xf>
    <xf numFmtId="49" fontId="11" fillId="33" borderId="10" xfId="0" applyNumberFormat="1" applyFont="1" applyFill="1" applyBorder="1" applyAlignment="1">
      <alignment vertical="center" wrapText="1"/>
    </xf>
    <xf numFmtId="4" fontId="11" fillId="33" borderId="10" xfId="0" applyNumberFormat="1" applyFont="1" applyFill="1" applyBorder="1" applyAlignment="1">
      <alignment vertical="center"/>
    </xf>
    <xf numFmtId="0" fontId="11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vertical="center"/>
    </xf>
    <xf numFmtId="49" fontId="14" fillId="33" borderId="11" xfId="0" applyNumberFormat="1" applyFont="1" applyFill="1" applyBorder="1" applyAlignment="1">
      <alignment horizontal="center" vertical="center"/>
    </xf>
    <xf numFmtId="49" fontId="14" fillId="33" borderId="10" xfId="0" applyNumberFormat="1" applyFont="1" applyFill="1" applyBorder="1" applyAlignment="1">
      <alignment horizontal="center" vertical="center"/>
    </xf>
    <xf numFmtId="49" fontId="17" fillId="33" borderId="10" xfId="0" applyNumberFormat="1" applyFont="1" applyFill="1" applyBorder="1" applyAlignment="1">
      <alignment vertical="center" wrapText="1"/>
    </xf>
    <xf numFmtId="4" fontId="17" fillId="33" borderId="10" xfId="0" applyNumberFormat="1" applyFont="1" applyFill="1" applyBorder="1" applyAlignment="1">
      <alignment vertical="center"/>
    </xf>
    <xf numFmtId="0" fontId="14" fillId="33" borderId="0" xfId="0" applyFont="1" applyFill="1" applyAlignment="1">
      <alignment horizontal="center" vertical="center"/>
    </xf>
    <xf numFmtId="0" fontId="14" fillId="33" borderId="0" xfId="0" applyFont="1" applyFill="1" applyAlignment="1">
      <alignment vertical="center"/>
    </xf>
    <xf numFmtId="49" fontId="10" fillId="33" borderId="13" xfId="0" applyNumberFormat="1" applyFont="1" applyFill="1" applyBorder="1" applyAlignment="1">
      <alignment horizontal="center" vertical="center"/>
    </xf>
    <xf numFmtId="49" fontId="10" fillId="33" borderId="14" xfId="0" applyNumberFormat="1" applyFont="1" applyFill="1" applyBorder="1" applyAlignment="1">
      <alignment horizontal="center" vertical="center"/>
    </xf>
    <xf numFmtId="49" fontId="13" fillId="33" borderId="10" xfId="0" applyNumberFormat="1" applyFont="1" applyFill="1" applyBorder="1" applyAlignment="1">
      <alignment horizontal="left" vertical="center" wrapText="1"/>
    </xf>
    <xf numFmtId="4" fontId="13" fillId="33" borderId="10" xfId="0" applyNumberFormat="1" applyFont="1" applyFill="1" applyBorder="1" applyAlignment="1">
      <alignment vertical="center"/>
    </xf>
    <xf numFmtId="0" fontId="13" fillId="33" borderId="0" xfId="0" applyFont="1" applyFill="1" applyAlignment="1">
      <alignment horizontal="center" vertical="center"/>
    </xf>
    <xf numFmtId="0" fontId="13" fillId="33" borderId="0" xfId="0" applyFont="1" applyFill="1" applyAlignment="1">
      <alignment vertical="center"/>
    </xf>
    <xf numFmtId="49" fontId="13" fillId="33" borderId="13" xfId="0" applyNumberFormat="1" applyFont="1" applyFill="1" applyBorder="1" applyAlignment="1">
      <alignment horizontal="center" vertical="center"/>
    </xf>
    <xf numFmtId="49" fontId="13" fillId="33" borderId="14" xfId="0" applyNumberFormat="1" applyFont="1" applyFill="1" applyBorder="1" applyAlignment="1">
      <alignment horizontal="center" vertical="center"/>
    </xf>
    <xf numFmtId="49" fontId="13" fillId="33" borderId="10" xfId="0" applyNumberFormat="1" applyFont="1" applyFill="1" applyBorder="1" applyAlignment="1">
      <alignment vertical="center" wrapText="1"/>
    </xf>
    <xf numFmtId="49" fontId="13" fillId="33" borderId="11" xfId="0" applyNumberFormat="1" applyFont="1" applyFill="1" applyBorder="1" applyAlignment="1">
      <alignment horizontal="center" vertical="center"/>
    </xf>
    <xf numFmtId="49" fontId="13" fillId="33" borderId="10" xfId="0" applyNumberFormat="1" applyFont="1" applyFill="1" applyBorder="1" applyAlignment="1">
      <alignment horizontal="center" vertical="center"/>
    </xf>
    <xf numFmtId="49" fontId="10" fillId="33" borderId="28" xfId="0" applyNumberFormat="1" applyFont="1" applyFill="1" applyBorder="1" applyAlignment="1">
      <alignment horizontal="center" vertical="center"/>
    </xf>
    <xf numFmtId="49" fontId="10" fillId="33" borderId="29" xfId="0" applyNumberFormat="1" applyFont="1" applyFill="1" applyBorder="1" applyAlignment="1">
      <alignment horizontal="center" vertical="center"/>
    </xf>
    <xf numFmtId="49" fontId="13" fillId="33" borderId="30" xfId="0" applyNumberFormat="1" applyFont="1" applyFill="1" applyBorder="1" applyAlignment="1">
      <alignment vertical="center" wrapText="1"/>
    </xf>
    <xf numFmtId="4" fontId="13" fillId="33" borderId="30" xfId="0" applyNumberFormat="1" applyFont="1" applyFill="1" applyBorder="1" applyAlignment="1">
      <alignment vertical="center"/>
    </xf>
    <xf numFmtId="0" fontId="10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 vertical="center"/>
    </xf>
    <xf numFmtId="49" fontId="11" fillId="37" borderId="22" xfId="0" applyNumberFormat="1" applyFont="1" applyFill="1" applyBorder="1" applyAlignment="1">
      <alignment horizontal="center" vertical="center"/>
    </xf>
    <xf numFmtId="49" fontId="11" fillId="37" borderId="23" xfId="0" applyNumberFormat="1" applyFont="1" applyFill="1" applyBorder="1" applyAlignment="1">
      <alignment horizontal="center" vertical="center"/>
    </xf>
    <xf numFmtId="49" fontId="11" fillId="37" borderId="26" xfId="0" applyNumberFormat="1" applyFont="1" applyFill="1" applyBorder="1" applyAlignment="1">
      <alignment vertical="center" wrapText="1"/>
    </xf>
    <xf numFmtId="4" fontId="11" fillId="37" borderId="19" xfId="0" applyNumberFormat="1" applyFont="1" applyFill="1" applyBorder="1" applyAlignment="1">
      <alignment vertical="center"/>
    </xf>
    <xf numFmtId="166" fontId="11" fillId="37" borderId="25" xfId="0" applyNumberFormat="1" applyFont="1" applyFill="1" applyBorder="1" applyAlignment="1">
      <alignment vertical="center"/>
    </xf>
    <xf numFmtId="3" fontId="22" fillId="0" borderId="0" xfId="0" applyNumberFormat="1" applyFont="1" applyAlignment="1">
      <alignment horizontal="center" vertical="center"/>
    </xf>
    <xf numFmtId="3" fontId="20" fillId="0" borderId="0" xfId="0" applyNumberFormat="1" applyFont="1" applyAlignment="1">
      <alignment vertical="center"/>
    </xf>
    <xf numFmtId="3" fontId="18" fillId="0" borderId="0" xfId="0" applyNumberFormat="1" applyFont="1" applyAlignment="1">
      <alignment vertical="center"/>
    </xf>
    <xf numFmtId="49" fontId="11" fillId="0" borderId="0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right" vertical="center" wrapText="1"/>
    </xf>
    <xf numFmtId="4" fontId="14" fillId="0" borderId="0" xfId="0" applyNumberFormat="1" applyFont="1" applyBorder="1" applyAlignment="1">
      <alignment vertical="center"/>
    </xf>
    <xf numFmtId="166" fontId="14" fillId="0" borderId="0" xfId="0" applyNumberFormat="1" applyFont="1" applyBorder="1" applyAlignment="1">
      <alignment vertical="center"/>
    </xf>
    <xf numFmtId="3" fontId="11" fillId="0" borderId="0" xfId="0" applyNumberFormat="1" applyFont="1" applyAlignment="1">
      <alignment horizontal="center" vertical="center"/>
    </xf>
    <xf numFmtId="3" fontId="10" fillId="0" borderId="0" xfId="0" applyNumberFormat="1" applyFont="1" applyAlignment="1">
      <alignment vertical="center"/>
    </xf>
    <xf numFmtId="0" fontId="10" fillId="0" borderId="0" xfId="58" applyFont="1" applyAlignment="1">
      <alignment horizontal="center" vertical="center"/>
      <protection/>
    </xf>
    <xf numFmtId="0" fontId="10" fillId="0" borderId="0" xfId="58" applyFont="1" applyAlignment="1">
      <alignment vertical="center"/>
      <protection/>
    </xf>
    <xf numFmtId="0" fontId="10" fillId="0" borderId="0" xfId="58" applyFont="1" applyFill="1" applyAlignment="1">
      <alignment vertical="center"/>
      <protection/>
    </xf>
    <xf numFmtId="0" fontId="11" fillId="0" borderId="0" xfId="58" applyFont="1" applyAlignment="1">
      <alignment horizontal="center" vertical="center"/>
      <protection/>
    </xf>
    <xf numFmtId="0" fontId="10" fillId="0" borderId="0" xfId="58" applyFont="1" applyAlignment="1">
      <alignment horizontal="right" vertical="center"/>
      <protection/>
    </xf>
    <xf numFmtId="4" fontId="10" fillId="0" borderId="0" xfId="58" applyNumberFormat="1" applyFont="1" applyAlignment="1">
      <alignment horizontal="right" vertical="center"/>
      <protection/>
    </xf>
    <xf numFmtId="0" fontId="11" fillId="35" borderId="31" xfId="58" applyFont="1" applyFill="1" applyBorder="1" applyAlignment="1">
      <alignment horizontal="center" vertical="center"/>
      <protection/>
    </xf>
    <xf numFmtId="0" fontId="11" fillId="35" borderId="32" xfId="58" applyFont="1" applyFill="1" applyBorder="1" applyAlignment="1">
      <alignment horizontal="center" vertical="center"/>
      <protection/>
    </xf>
    <xf numFmtId="0" fontId="11" fillId="35" borderId="32" xfId="58" applyFont="1" applyFill="1" applyBorder="1" applyAlignment="1">
      <alignment horizontal="center" vertical="center" wrapText="1"/>
      <protection/>
    </xf>
    <xf numFmtId="4" fontId="11" fillId="35" borderId="32" xfId="58" applyNumberFormat="1" applyFont="1" applyFill="1" applyBorder="1" applyAlignment="1">
      <alignment horizontal="center" vertical="center" wrapText="1"/>
      <protection/>
    </xf>
    <xf numFmtId="0" fontId="11" fillId="35" borderId="33" xfId="58" applyFont="1" applyFill="1" applyBorder="1" applyAlignment="1">
      <alignment horizontal="center" vertical="center" wrapText="1"/>
      <protection/>
    </xf>
    <xf numFmtId="0" fontId="11" fillId="35" borderId="34" xfId="58" applyFont="1" applyFill="1" applyBorder="1" applyAlignment="1">
      <alignment horizontal="center" vertical="center"/>
      <protection/>
    </xf>
    <xf numFmtId="1" fontId="11" fillId="35" borderId="35" xfId="58" applyNumberFormat="1" applyFont="1" applyFill="1" applyBorder="1" applyAlignment="1">
      <alignment horizontal="center" vertical="center"/>
      <protection/>
    </xf>
    <xf numFmtId="1" fontId="11" fillId="35" borderId="36" xfId="58" applyNumberFormat="1" applyFont="1" applyFill="1" applyBorder="1" applyAlignment="1">
      <alignment horizontal="center" vertical="center"/>
      <protection/>
    </xf>
    <xf numFmtId="1" fontId="11" fillId="35" borderId="36" xfId="58" applyNumberFormat="1" applyFont="1" applyFill="1" applyBorder="1" applyAlignment="1">
      <alignment horizontal="center" vertical="center" wrapText="1"/>
      <protection/>
    </xf>
    <xf numFmtId="1" fontId="11" fillId="35" borderId="37" xfId="58" applyNumberFormat="1" applyFont="1" applyFill="1" applyBorder="1" applyAlignment="1">
      <alignment horizontal="center" vertical="center" wrapText="1"/>
      <protection/>
    </xf>
    <xf numFmtId="1" fontId="11" fillId="35" borderId="16" xfId="58" applyNumberFormat="1" applyFont="1" applyFill="1" applyBorder="1" applyAlignment="1">
      <alignment horizontal="center" vertical="center"/>
      <protection/>
    </xf>
    <xf numFmtId="1" fontId="11" fillId="0" borderId="0" xfId="58" applyNumberFormat="1" applyFont="1" applyAlignment="1">
      <alignment horizontal="center" vertical="center"/>
      <protection/>
    </xf>
    <xf numFmtId="0" fontId="10" fillId="0" borderId="17" xfId="58" applyFont="1" applyBorder="1" applyAlignment="1">
      <alignment horizontal="center" vertical="center"/>
      <protection/>
    </xf>
    <xf numFmtId="0" fontId="10" fillId="0" borderId="15" xfId="58" applyFont="1" applyBorder="1" applyAlignment="1">
      <alignment horizontal="center" vertical="center"/>
      <protection/>
    </xf>
    <xf numFmtId="0" fontId="10" fillId="0" borderId="15" xfId="0" applyFont="1" applyBorder="1" applyAlignment="1">
      <alignment horizontal="center" vertical="center" wrapText="1"/>
    </xf>
    <xf numFmtId="4" fontId="10" fillId="0" borderId="15" xfId="58" applyNumberFormat="1" applyFont="1" applyBorder="1" applyAlignment="1">
      <alignment vertical="center"/>
      <protection/>
    </xf>
    <xf numFmtId="4" fontId="10" fillId="0" borderId="38" xfId="58" applyNumberFormat="1" applyFont="1" applyBorder="1" applyAlignment="1">
      <alignment vertical="center"/>
      <protection/>
    </xf>
    <xf numFmtId="168" fontId="10" fillId="0" borderId="16" xfId="58" applyNumberFormat="1" applyFont="1" applyBorder="1" applyAlignment="1">
      <alignment vertical="center"/>
      <protection/>
    </xf>
    <xf numFmtId="4" fontId="11" fillId="37" borderId="30" xfId="58" applyNumberFormat="1" applyFont="1" applyFill="1" applyBorder="1" applyAlignment="1">
      <alignment vertical="center"/>
      <protection/>
    </xf>
    <xf numFmtId="4" fontId="11" fillId="37" borderId="39" xfId="58" applyNumberFormat="1" applyFont="1" applyFill="1" applyBorder="1" applyAlignment="1">
      <alignment vertical="center"/>
      <protection/>
    </xf>
    <xf numFmtId="168" fontId="11" fillId="37" borderId="40" xfId="58" applyNumberFormat="1" applyFont="1" applyFill="1" applyBorder="1" applyAlignment="1">
      <alignment vertical="center"/>
      <protection/>
    </xf>
    <xf numFmtId="0" fontId="11" fillId="0" borderId="0" xfId="58" applyFont="1" applyAlignment="1">
      <alignment vertical="center"/>
      <protection/>
    </xf>
    <xf numFmtId="4" fontId="10" fillId="0" borderId="0" xfId="58" applyNumberFormat="1" applyFont="1" applyAlignment="1">
      <alignment vertical="center"/>
      <protection/>
    </xf>
    <xf numFmtId="0" fontId="38" fillId="0" borderId="0" xfId="0" applyFont="1" applyFill="1" applyAlignment="1">
      <alignment horizontal="center" vertical="center"/>
    </xf>
    <xf numFmtId="166" fontId="11" fillId="36" borderId="25" xfId="0" applyNumberFormat="1" applyFont="1" applyFill="1" applyBorder="1" applyAlignment="1">
      <alignment vertical="center"/>
    </xf>
    <xf numFmtId="4" fontId="13" fillId="0" borderId="41" xfId="0" applyNumberFormat="1" applyFont="1" applyFill="1" applyBorder="1" applyAlignment="1">
      <alignment vertical="center"/>
    </xf>
    <xf numFmtId="4" fontId="16" fillId="0" borderId="10" xfId="0" applyNumberFormat="1" applyFont="1" applyFill="1" applyBorder="1" applyAlignment="1">
      <alignment vertical="center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 horizontal="right" vertical="center"/>
    </xf>
    <xf numFmtId="0" fontId="39" fillId="35" borderId="15" xfId="0" applyFont="1" applyFill="1" applyBorder="1" applyAlignment="1">
      <alignment horizontal="center" vertical="center"/>
    </xf>
    <xf numFmtId="4" fontId="40" fillId="0" borderId="0" xfId="0" applyNumberFormat="1" applyFont="1" applyAlignment="1">
      <alignment vertical="center"/>
    </xf>
    <xf numFmtId="0" fontId="40" fillId="0" borderId="0" xfId="0" applyFont="1" applyAlignment="1">
      <alignment horizontal="right" vertical="center"/>
    </xf>
    <xf numFmtId="39" fontId="40" fillId="0" borderId="0" xfId="0" applyNumberFormat="1" applyFont="1" applyAlignment="1">
      <alignment vertical="center"/>
    </xf>
    <xf numFmtId="49" fontId="40" fillId="0" borderId="0" xfId="0" applyNumberFormat="1" applyFont="1" applyAlignment="1">
      <alignment vertical="center"/>
    </xf>
    <xf numFmtId="4" fontId="40" fillId="0" borderId="14" xfId="0" applyNumberFormat="1" applyFont="1" applyFill="1" applyBorder="1" applyAlignment="1">
      <alignment vertical="top"/>
    </xf>
    <xf numFmtId="166" fontId="40" fillId="0" borderId="41" xfId="0" applyNumberFormat="1" applyFont="1" applyFill="1" applyBorder="1" applyAlignment="1">
      <alignment horizontal="right" vertical="top"/>
    </xf>
    <xf numFmtId="0" fontId="40" fillId="0" borderId="0" xfId="0" applyFont="1" applyFill="1" applyAlignment="1">
      <alignment vertical="center"/>
    </xf>
    <xf numFmtId="0" fontId="40" fillId="0" borderId="0" xfId="0" applyFont="1" applyAlignment="1">
      <alignment horizontal="center" vertical="center"/>
    </xf>
    <xf numFmtId="0" fontId="40" fillId="0" borderId="15" xfId="0" applyFont="1" applyBorder="1" applyAlignment="1">
      <alignment vertical="center" wrapText="1"/>
    </xf>
    <xf numFmtId="0" fontId="40" fillId="0" borderId="15" xfId="0" applyFont="1" applyBorder="1" applyAlignment="1">
      <alignment horizontal="center" vertical="center"/>
    </xf>
    <xf numFmtId="4" fontId="40" fillId="0" borderId="15" xfId="0" applyNumberFormat="1" applyFont="1" applyBorder="1" applyAlignment="1">
      <alignment horizontal="right" vertical="center"/>
    </xf>
    <xf numFmtId="0" fontId="40" fillId="0" borderId="17" xfId="0" applyFont="1" applyBorder="1" applyAlignment="1">
      <alignment horizontal="center" vertical="center"/>
    </xf>
    <xf numFmtId="4" fontId="40" fillId="0" borderId="0" xfId="0" applyNumberFormat="1" applyFont="1" applyAlignment="1">
      <alignment horizontal="right" vertical="center"/>
    </xf>
    <xf numFmtId="4" fontId="39" fillId="0" borderId="0" xfId="0" applyNumberFormat="1" applyFont="1" applyAlignment="1">
      <alignment horizontal="right" vertical="center"/>
    </xf>
    <xf numFmtId="49" fontId="39" fillId="0" borderId="11" xfId="0" applyNumberFormat="1" applyFont="1" applyFill="1" applyBorder="1" applyAlignment="1">
      <alignment horizontal="center" vertical="top"/>
    </xf>
    <xf numFmtId="166" fontId="39" fillId="0" borderId="12" xfId="0" applyNumberFormat="1" applyFont="1" applyFill="1" applyBorder="1" applyAlignment="1">
      <alignment horizontal="right" vertical="top"/>
    </xf>
    <xf numFmtId="49" fontId="40" fillId="0" borderId="11" xfId="0" applyNumberFormat="1" applyFont="1" applyFill="1" applyBorder="1" applyAlignment="1">
      <alignment horizontal="center" vertical="top"/>
    </xf>
    <xf numFmtId="49" fontId="40" fillId="0" borderId="10" xfId="0" applyNumberFormat="1" applyFont="1" applyFill="1" applyBorder="1" applyAlignment="1">
      <alignment vertical="top" wrapText="1"/>
    </xf>
    <xf numFmtId="4" fontId="40" fillId="0" borderId="10" xfId="0" applyNumberFormat="1" applyFont="1" applyFill="1" applyBorder="1" applyAlignment="1">
      <alignment horizontal="right" vertical="top"/>
    </xf>
    <xf numFmtId="166" fontId="40" fillId="0" borderId="12" xfId="0" applyNumberFormat="1" applyFont="1" applyFill="1" applyBorder="1" applyAlignment="1">
      <alignment horizontal="right" vertical="top"/>
    </xf>
    <xf numFmtId="49" fontId="41" fillId="0" borderId="11" xfId="0" applyNumberFormat="1" applyFont="1" applyFill="1" applyBorder="1" applyAlignment="1">
      <alignment horizontal="center" vertical="top"/>
    </xf>
    <xf numFmtId="0" fontId="41" fillId="0" borderId="10" xfId="0" applyFont="1" applyBorder="1" applyAlignment="1">
      <alignment horizontal="center" vertical="top" wrapText="1"/>
    </xf>
    <xf numFmtId="49" fontId="41" fillId="0" borderId="10" xfId="0" applyNumberFormat="1" applyFont="1" applyBorder="1" applyAlignment="1">
      <alignment vertical="top" wrapText="1"/>
    </xf>
    <xf numFmtId="4" fontId="41" fillId="0" borderId="10" xfId="0" applyNumberFormat="1" applyFont="1" applyFill="1" applyBorder="1" applyAlignment="1">
      <alignment horizontal="right" vertical="top"/>
    </xf>
    <xf numFmtId="166" fontId="41" fillId="0" borderId="12" xfId="0" applyNumberFormat="1" applyFont="1" applyFill="1" applyBorder="1" applyAlignment="1">
      <alignment horizontal="right" vertical="top"/>
    </xf>
    <xf numFmtId="49" fontId="39" fillId="0" borderId="10" xfId="0" applyNumberFormat="1" applyFont="1" applyFill="1" applyBorder="1" applyAlignment="1">
      <alignment horizontal="center" vertical="top"/>
    </xf>
    <xf numFmtId="49" fontId="39" fillId="0" borderId="10" xfId="0" applyNumberFormat="1" applyFont="1" applyFill="1" applyBorder="1" applyAlignment="1">
      <alignment vertical="top"/>
    </xf>
    <xf numFmtId="4" fontId="39" fillId="0" borderId="10" xfId="0" applyNumberFormat="1" applyFont="1" applyFill="1" applyBorder="1" applyAlignment="1">
      <alignment vertical="top"/>
    </xf>
    <xf numFmtId="0" fontId="39" fillId="0" borderId="0" xfId="0" applyFont="1" applyAlignment="1">
      <alignment vertical="top"/>
    </xf>
    <xf numFmtId="49" fontId="40" fillId="0" borderId="10" xfId="0" applyNumberFormat="1" applyFont="1" applyFill="1" applyBorder="1" applyAlignment="1">
      <alignment horizontal="center" vertical="top"/>
    </xf>
    <xf numFmtId="49" fontId="40" fillId="0" borderId="10" xfId="0" applyNumberFormat="1" applyFont="1" applyFill="1" applyBorder="1" applyAlignment="1">
      <alignment vertical="top"/>
    </xf>
    <xf numFmtId="4" fontId="40" fillId="0" borderId="10" xfId="0" applyNumberFormat="1" applyFont="1" applyFill="1" applyBorder="1" applyAlignment="1">
      <alignment vertical="top"/>
    </xf>
    <xf numFmtId="0" fontId="40" fillId="0" borderId="0" xfId="0" applyFont="1" applyAlignment="1">
      <alignment vertical="top"/>
    </xf>
    <xf numFmtId="49" fontId="41" fillId="0" borderId="10" xfId="0" applyNumberFormat="1" applyFont="1" applyFill="1" applyBorder="1" applyAlignment="1">
      <alignment horizontal="center" vertical="top"/>
    </xf>
    <xf numFmtId="49" fontId="41" fillId="0" borderId="10" xfId="0" applyNumberFormat="1" applyFont="1" applyFill="1" applyBorder="1" applyAlignment="1">
      <alignment vertical="top"/>
    </xf>
    <xf numFmtId="4" fontId="41" fillId="0" borderId="10" xfId="0" applyNumberFormat="1" applyFont="1" applyFill="1" applyBorder="1" applyAlignment="1">
      <alignment vertical="top"/>
    </xf>
    <xf numFmtId="0" fontId="41" fillId="0" borderId="0" xfId="0" applyFont="1" applyAlignment="1">
      <alignment vertical="top"/>
    </xf>
    <xf numFmtId="49" fontId="41" fillId="0" borderId="10" xfId="0" applyNumberFormat="1" applyFont="1" applyFill="1" applyBorder="1" applyAlignment="1">
      <alignment vertical="top" wrapText="1"/>
    </xf>
    <xf numFmtId="49" fontId="39" fillId="0" borderId="10" xfId="0" applyNumberFormat="1" applyFont="1" applyFill="1" applyBorder="1" applyAlignment="1">
      <alignment vertical="top" wrapText="1"/>
    </xf>
    <xf numFmtId="4" fontId="41" fillId="0" borderId="14" xfId="0" applyNumberFormat="1" applyFont="1" applyFill="1" applyBorder="1" applyAlignment="1">
      <alignment vertical="top"/>
    </xf>
    <xf numFmtId="4" fontId="39" fillId="0" borderId="10" xfId="0" applyNumberFormat="1" applyFont="1" applyBorder="1" applyAlignment="1">
      <alignment vertical="top"/>
    </xf>
    <xf numFmtId="4" fontId="40" fillId="0" borderId="14" xfId="0" applyNumberFormat="1" applyFont="1" applyBorder="1" applyAlignment="1">
      <alignment vertical="top"/>
    </xf>
    <xf numFmtId="166" fontId="41" fillId="0" borderId="41" xfId="0" applyNumberFormat="1" applyFont="1" applyFill="1" applyBorder="1" applyAlignment="1">
      <alignment horizontal="right" vertical="top"/>
    </xf>
    <xf numFmtId="49" fontId="41" fillId="0" borderId="14" xfId="0" applyNumberFormat="1" applyFont="1" applyFill="1" applyBorder="1" applyAlignment="1">
      <alignment horizontal="center" vertical="top"/>
    </xf>
    <xf numFmtId="49" fontId="40" fillId="0" borderId="14" xfId="0" applyNumberFormat="1" applyFont="1" applyFill="1" applyBorder="1" applyAlignment="1">
      <alignment horizontal="center" vertical="top"/>
    </xf>
    <xf numFmtId="49" fontId="41" fillId="0" borderId="11" xfId="0" applyNumberFormat="1" applyFont="1" applyBorder="1" applyAlignment="1">
      <alignment horizontal="center" vertical="top"/>
    </xf>
    <xf numFmtId="49" fontId="41" fillId="0" borderId="10" xfId="0" applyNumberFormat="1" applyFont="1" applyBorder="1" applyAlignment="1">
      <alignment horizontal="center" vertical="top"/>
    </xf>
    <xf numFmtId="49" fontId="41" fillId="0" borderId="10" xfId="0" applyNumberFormat="1" applyFont="1" applyBorder="1" applyAlignment="1">
      <alignment horizontal="center" vertical="top" wrapText="1"/>
    </xf>
    <xf numFmtId="4" fontId="41" fillId="0" borderId="10" xfId="0" applyNumberFormat="1" applyFont="1" applyBorder="1" applyAlignment="1">
      <alignment vertical="top"/>
    </xf>
    <xf numFmtId="49" fontId="41" fillId="0" borderId="10" xfId="0" applyNumberFormat="1" applyFont="1" applyFill="1" applyBorder="1" applyAlignment="1">
      <alignment horizontal="center" vertical="top" wrapText="1"/>
    </xf>
    <xf numFmtId="4" fontId="41" fillId="0" borderId="21" xfId="0" applyNumberFormat="1" applyFont="1" applyFill="1" applyBorder="1" applyAlignment="1">
      <alignment vertical="top"/>
    </xf>
    <xf numFmtId="49" fontId="41" fillId="0" borderId="21" xfId="0" applyNumberFormat="1" applyFont="1" applyFill="1" applyBorder="1" applyAlignment="1">
      <alignment vertical="top" wrapText="1"/>
    </xf>
    <xf numFmtId="0" fontId="41" fillId="0" borderId="0" xfId="0" applyFont="1" applyFill="1" applyAlignment="1">
      <alignment vertical="top"/>
    </xf>
    <xf numFmtId="49" fontId="40" fillId="0" borderId="11" xfId="0" applyNumberFormat="1" applyFont="1" applyBorder="1" applyAlignment="1">
      <alignment horizontal="center" vertical="top"/>
    </xf>
    <xf numFmtId="49" fontId="40" fillId="0" borderId="10" xfId="0" applyNumberFormat="1" applyFont="1" applyBorder="1" applyAlignment="1">
      <alignment horizontal="center" vertical="top"/>
    </xf>
    <xf numFmtId="0" fontId="40" fillId="0" borderId="10" xfId="0" applyFont="1" applyBorder="1" applyAlignment="1">
      <alignment horizontal="center" vertical="top" wrapText="1"/>
    </xf>
    <xf numFmtId="49" fontId="40" fillId="0" borderId="10" xfId="0" applyNumberFormat="1" applyFont="1" applyBorder="1" applyAlignment="1">
      <alignment vertical="top" wrapText="1"/>
    </xf>
    <xf numFmtId="4" fontId="40" fillId="0" borderId="10" xfId="0" applyNumberFormat="1" applyFont="1" applyBorder="1" applyAlignment="1">
      <alignment vertical="top"/>
    </xf>
    <xf numFmtId="49" fontId="39" fillId="0" borderId="11" xfId="0" applyNumberFormat="1" applyFont="1" applyBorder="1" applyAlignment="1">
      <alignment horizontal="center" vertical="top"/>
    </xf>
    <xf numFmtId="49" fontId="39" fillId="0" borderId="10" xfId="0" applyNumberFormat="1" applyFont="1" applyBorder="1" applyAlignment="1">
      <alignment horizontal="center" vertical="top"/>
    </xf>
    <xf numFmtId="0" fontId="40" fillId="0" borderId="10" xfId="0" applyFont="1" applyBorder="1" applyAlignment="1">
      <alignment horizontal="center" vertical="top"/>
    </xf>
    <xf numFmtId="49" fontId="39" fillId="0" borderId="10" xfId="0" applyNumberFormat="1" applyFont="1" applyBorder="1" applyAlignment="1">
      <alignment vertical="top"/>
    </xf>
    <xf numFmtId="49" fontId="40" fillId="0" borderId="10" xfId="0" applyNumberFormat="1" applyFont="1" applyBorder="1" applyAlignment="1">
      <alignment vertical="top"/>
    </xf>
    <xf numFmtId="49" fontId="41" fillId="0" borderId="10" xfId="0" applyNumberFormat="1" applyFont="1" applyBorder="1" applyAlignment="1">
      <alignment vertical="top"/>
    </xf>
    <xf numFmtId="49" fontId="40" fillId="0" borderId="21" xfId="0" applyNumberFormat="1" applyFont="1" applyBorder="1" applyAlignment="1">
      <alignment horizontal="center" vertical="top"/>
    </xf>
    <xf numFmtId="49" fontId="40" fillId="0" borderId="21" xfId="0" applyNumberFormat="1" applyFont="1" applyBorder="1" applyAlignment="1">
      <alignment vertical="top"/>
    </xf>
    <xf numFmtId="49" fontId="41" fillId="0" borderId="13" xfId="0" applyNumberFormat="1" applyFont="1" applyBorder="1" applyAlignment="1">
      <alignment horizontal="center" vertical="top"/>
    </xf>
    <xf numFmtId="49" fontId="41" fillId="0" borderId="14" xfId="0" applyNumberFormat="1" applyFont="1" applyBorder="1" applyAlignment="1">
      <alignment horizontal="center" vertical="top"/>
    </xf>
    <xf numFmtId="4" fontId="41" fillId="0" borderId="14" xfId="0" applyNumberFormat="1" applyFont="1" applyBorder="1" applyAlignment="1">
      <alignment vertical="top"/>
    </xf>
    <xf numFmtId="49" fontId="40" fillId="0" borderId="10" xfId="0" applyNumberFormat="1" applyFont="1" applyBorder="1" applyAlignment="1">
      <alignment horizontal="center" vertical="top" wrapText="1"/>
    </xf>
    <xf numFmtId="49" fontId="39" fillId="0" borderId="10" xfId="0" applyNumberFormat="1" applyFont="1" applyBorder="1" applyAlignment="1">
      <alignment vertical="top" wrapText="1"/>
    </xf>
    <xf numFmtId="166" fontId="40" fillId="0" borderId="12" xfId="0" applyNumberFormat="1" applyFont="1" applyBorder="1" applyAlignment="1">
      <alignment horizontal="right" vertical="top"/>
    </xf>
    <xf numFmtId="166" fontId="41" fillId="0" borderId="12" xfId="0" applyNumberFormat="1" applyFont="1" applyBorder="1" applyAlignment="1">
      <alignment horizontal="right" vertical="top"/>
    </xf>
    <xf numFmtId="49" fontId="41" fillId="0" borderId="14" xfId="0" applyNumberFormat="1" applyFont="1" applyBorder="1" applyAlignment="1">
      <alignment horizontal="center" vertical="top" wrapText="1"/>
    </xf>
    <xf numFmtId="49" fontId="41" fillId="0" borderId="14" xfId="0" applyNumberFormat="1" applyFont="1" applyBorder="1" applyAlignment="1">
      <alignment vertical="top" wrapText="1"/>
    </xf>
    <xf numFmtId="49" fontId="41" fillId="0" borderId="21" xfId="0" applyNumberFormat="1" applyFont="1" applyBorder="1" applyAlignment="1">
      <alignment vertical="top" wrapText="1"/>
    </xf>
    <xf numFmtId="4" fontId="41" fillId="0" borderId="21" xfId="0" applyNumberFormat="1" applyFont="1" applyBorder="1" applyAlignment="1">
      <alignment vertical="top"/>
    </xf>
    <xf numFmtId="0" fontId="40" fillId="0" borderId="21" xfId="0" applyFont="1" applyBorder="1" applyAlignment="1">
      <alignment horizontal="center" vertical="top"/>
    </xf>
    <xf numFmtId="49" fontId="40" fillId="0" borderId="0" xfId="0" applyNumberFormat="1" applyFont="1" applyBorder="1" applyAlignment="1">
      <alignment horizontal="center" vertical="top"/>
    </xf>
    <xf numFmtId="4" fontId="41" fillId="0" borderId="0" xfId="0" applyNumberFormat="1" applyFont="1" applyBorder="1" applyAlignment="1">
      <alignment vertical="top"/>
    </xf>
    <xf numFmtId="49" fontId="40" fillId="0" borderId="14" xfId="0" applyNumberFormat="1" applyFont="1" applyBorder="1" applyAlignment="1">
      <alignment horizontal="center" vertical="top"/>
    </xf>
    <xf numFmtId="0" fontId="40" fillId="0" borderId="0" xfId="0" applyFont="1" applyBorder="1" applyAlignment="1">
      <alignment vertical="top"/>
    </xf>
    <xf numFmtId="49" fontId="39" fillId="0" borderId="10" xfId="0" applyNumberFormat="1" applyFont="1" applyBorder="1" applyAlignment="1">
      <alignment horizontal="center" vertical="top" wrapText="1"/>
    </xf>
    <xf numFmtId="49" fontId="40" fillId="0" borderId="10" xfId="0" applyNumberFormat="1" applyFont="1" applyFill="1" applyBorder="1" applyAlignment="1">
      <alignment horizontal="center" vertical="top" wrapText="1"/>
    </xf>
    <xf numFmtId="49" fontId="41" fillId="0" borderId="24" xfId="0" applyNumberFormat="1" applyFont="1" applyBorder="1" applyAlignment="1">
      <alignment horizontal="center" vertical="top"/>
    </xf>
    <xf numFmtId="49" fontId="41" fillId="0" borderId="19" xfId="0" applyNumberFormat="1" applyFont="1" applyBorder="1" applyAlignment="1">
      <alignment horizontal="center" vertical="top"/>
    </xf>
    <xf numFmtId="49" fontId="41" fillId="0" borderId="19" xfId="0" applyNumberFormat="1" applyFont="1" applyBorder="1" applyAlignment="1">
      <alignment vertical="top"/>
    </xf>
    <xf numFmtId="49" fontId="40" fillId="0" borderId="14" xfId="0" applyNumberFormat="1" applyFont="1" applyBorder="1" applyAlignment="1">
      <alignment horizontal="center" vertical="top" wrapText="1"/>
    </xf>
    <xf numFmtId="49" fontId="40" fillId="0" borderId="14" xfId="0" applyNumberFormat="1" applyFont="1" applyBorder="1" applyAlignment="1">
      <alignment vertical="top" wrapText="1"/>
    </xf>
    <xf numFmtId="49" fontId="41" fillId="0" borderId="27" xfId="0" applyNumberFormat="1" applyFont="1" applyBorder="1" applyAlignment="1">
      <alignment horizontal="center" vertical="top"/>
    </xf>
    <xf numFmtId="49" fontId="41" fillId="0" borderId="27" xfId="0" applyNumberFormat="1" applyFont="1" applyBorder="1" applyAlignment="1">
      <alignment horizontal="center" vertical="top" wrapText="1"/>
    </xf>
    <xf numFmtId="49" fontId="41" fillId="0" borderId="19" xfId="0" applyNumberFormat="1" applyFont="1" applyBorder="1" applyAlignment="1">
      <alignment vertical="top" wrapText="1"/>
    </xf>
    <xf numFmtId="4" fontId="41" fillId="0" borderId="27" xfId="0" applyNumberFormat="1" applyFont="1" applyBorder="1" applyAlignment="1">
      <alignment vertical="top"/>
    </xf>
    <xf numFmtId="166" fontId="41" fillId="0" borderId="20" xfId="0" applyNumberFormat="1" applyFont="1" applyFill="1" applyBorder="1" applyAlignment="1">
      <alignment horizontal="right" vertical="top"/>
    </xf>
    <xf numFmtId="49" fontId="41" fillId="0" borderId="27" xfId="0" applyNumberFormat="1" applyFont="1" applyBorder="1" applyAlignment="1">
      <alignment vertical="top" wrapText="1"/>
    </xf>
    <xf numFmtId="0" fontId="40" fillId="0" borderId="0" xfId="0" applyFont="1" applyFill="1" applyAlignment="1">
      <alignment vertical="top"/>
    </xf>
    <xf numFmtId="0" fontId="41" fillId="0" borderId="10" xfId="0" applyFont="1" applyFill="1" applyBorder="1" applyAlignment="1">
      <alignment horizontal="center" vertical="top" wrapText="1"/>
    </xf>
    <xf numFmtId="0" fontId="40" fillId="0" borderId="10" xfId="0" applyFont="1" applyFill="1" applyBorder="1" applyAlignment="1">
      <alignment horizontal="center" vertical="top" wrapText="1"/>
    </xf>
    <xf numFmtId="49" fontId="40" fillId="0" borderId="21" xfId="0" applyNumberFormat="1" applyFont="1" applyFill="1" applyBorder="1" applyAlignment="1">
      <alignment vertical="top" wrapText="1"/>
    </xf>
    <xf numFmtId="0" fontId="41" fillId="0" borderId="0" xfId="0" applyFont="1" applyFill="1" applyBorder="1" applyAlignment="1">
      <alignment vertical="top"/>
    </xf>
    <xf numFmtId="49" fontId="41" fillId="0" borderId="0" xfId="0" applyNumberFormat="1" applyFont="1" applyBorder="1" applyAlignment="1">
      <alignment horizontal="center" vertical="top"/>
    </xf>
    <xf numFmtId="49" fontId="41" fillId="0" borderId="0" xfId="0" applyNumberFormat="1" applyFont="1" applyBorder="1" applyAlignment="1">
      <alignment horizontal="right" vertical="top"/>
    </xf>
    <xf numFmtId="4" fontId="41" fillId="0" borderId="0" xfId="0" applyNumberFormat="1" applyFont="1" applyAlignment="1">
      <alignment vertical="top"/>
    </xf>
    <xf numFmtId="166" fontId="41" fillId="0" borderId="0" xfId="0" applyNumberFormat="1" applyFont="1" applyAlignment="1">
      <alignment horizontal="right" vertical="top"/>
    </xf>
    <xf numFmtId="49" fontId="40" fillId="0" borderId="0" xfId="0" applyNumberFormat="1" applyFont="1" applyBorder="1" applyAlignment="1">
      <alignment vertical="top"/>
    </xf>
    <xf numFmtId="3" fontId="40" fillId="0" borderId="0" xfId="0" applyNumberFormat="1" applyFont="1" applyBorder="1" applyAlignment="1">
      <alignment vertical="top"/>
    </xf>
    <xf numFmtId="165" fontId="40" fillId="0" borderId="0" xfId="0" applyNumberFormat="1" applyFont="1" applyAlignment="1">
      <alignment vertical="top"/>
    </xf>
    <xf numFmtId="166" fontId="40" fillId="0" borderId="0" xfId="0" applyNumberFormat="1" applyFont="1" applyAlignment="1">
      <alignment horizontal="right" vertical="top"/>
    </xf>
    <xf numFmtId="0" fontId="40" fillId="38" borderId="0" xfId="0" applyFont="1" applyFill="1" applyAlignment="1">
      <alignment vertical="top"/>
    </xf>
    <xf numFmtId="49" fontId="40" fillId="0" borderId="0" xfId="0" applyNumberFormat="1" applyFont="1" applyAlignment="1">
      <alignment horizontal="center" vertical="top"/>
    </xf>
    <xf numFmtId="49" fontId="40" fillId="0" borderId="0" xfId="0" applyNumberFormat="1" applyFont="1" applyAlignment="1">
      <alignment vertical="top"/>
    </xf>
    <xf numFmtId="0" fontId="40" fillId="0" borderId="0" xfId="0" applyFont="1" applyAlignment="1" applyProtection="1">
      <alignment/>
      <protection hidden="1"/>
    </xf>
    <xf numFmtId="0" fontId="42" fillId="0" borderId="0" xfId="0" applyFont="1" applyAlignment="1" applyProtection="1">
      <alignment horizontal="center"/>
      <protection hidden="1"/>
    </xf>
    <xf numFmtId="0" fontId="40" fillId="0" borderId="0" xfId="0" applyFont="1" applyAlignment="1" applyProtection="1">
      <alignment horizontal="center"/>
      <protection hidden="1"/>
    </xf>
    <xf numFmtId="0" fontId="43" fillId="0" borderId="0" xfId="0" applyFont="1" applyAlignment="1">
      <alignment/>
    </xf>
    <xf numFmtId="0" fontId="39" fillId="0" borderId="0" xfId="0" applyFont="1" applyFill="1" applyAlignment="1">
      <alignment vertical="center"/>
    </xf>
    <xf numFmtId="4" fontId="40" fillId="0" borderId="0" xfId="0" applyNumberFormat="1" applyFont="1" applyFill="1" applyAlignment="1">
      <alignment vertical="center"/>
    </xf>
    <xf numFmtId="4" fontId="39" fillId="0" borderId="15" xfId="0" applyNumberFormat="1" applyFont="1" applyBorder="1" applyAlignment="1">
      <alignment vertical="center"/>
    </xf>
    <xf numFmtId="4" fontId="40" fillId="0" borderId="15" xfId="0" applyNumberFormat="1" applyFont="1" applyBorder="1" applyAlignment="1">
      <alignment vertical="center"/>
    </xf>
    <xf numFmtId="168" fontId="40" fillId="0" borderId="16" xfId="0" applyNumberFormat="1" applyFont="1" applyBorder="1" applyAlignment="1">
      <alignment vertical="center"/>
    </xf>
    <xf numFmtId="0" fontId="40" fillId="0" borderId="42" xfId="0" applyFont="1" applyBorder="1" applyAlignment="1">
      <alignment horizontal="center" vertical="center"/>
    </xf>
    <xf numFmtId="4" fontId="40" fillId="0" borderId="43" xfId="0" applyNumberFormat="1" applyFont="1" applyBorder="1" applyAlignment="1">
      <alignment vertical="center"/>
    </xf>
    <xf numFmtId="4" fontId="39" fillId="36" borderId="30" xfId="0" applyNumberFormat="1" applyFont="1" applyFill="1" applyBorder="1" applyAlignment="1">
      <alignment vertical="center"/>
    </xf>
    <xf numFmtId="168" fontId="39" fillId="36" borderId="40" xfId="0" applyNumberFormat="1" applyFont="1" applyFill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39" fillId="0" borderId="0" xfId="0" applyFont="1" applyFill="1" applyAlignment="1">
      <alignment horizontal="right" vertical="center"/>
    </xf>
    <xf numFmtId="4" fontId="40" fillId="0" borderId="15" xfId="0" applyNumberFormat="1" applyFont="1" applyFill="1" applyBorder="1" applyAlignment="1">
      <alignment vertical="center"/>
    </xf>
    <xf numFmtId="0" fontId="44" fillId="0" borderId="0" xfId="0" applyFont="1" applyAlignment="1">
      <alignment vertical="center"/>
    </xf>
    <xf numFmtId="0" fontId="40" fillId="0" borderId="15" xfId="0" applyFont="1" applyBorder="1" applyAlignment="1">
      <alignment vertical="center"/>
    </xf>
    <xf numFmtId="4" fontId="40" fillId="0" borderId="44" xfId="0" applyNumberFormat="1" applyFont="1" applyBorder="1" applyAlignment="1">
      <alignment vertical="center"/>
    </xf>
    <xf numFmtId="4" fontId="40" fillId="0" borderId="19" xfId="0" applyNumberFormat="1" applyFont="1" applyFill="1" applyBorder="1" applyAlignment="1">
      <alignment vertical="center"/>
    </xf>
    <xf numFmtId="0" fontId="40" fillId="0" borderId="15" xfId="0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vertical="center" wrapText="1"/>
    </xf>
    <xf numFmtId="4" fontId="40" fillId="0" borderId="43" xfId="0" applyNumberFormat="1" applyFont="1" applyFill="1" applyBorder="1" applyAlignment="1">
      <alignment vertical="center"/>
    </xf>
    <xf numFmtId="49" fontId="40" fillId="0" borderId="15" xfId="0" applyNumberFormat="1" applyFont="1" applyBorder="1" applyAlignment="1">
      <alignment horizontal="center" vertical="center"/>
    </xf>
    <xf numFmtId="4" fontId="39" fillId="0" borderId="0" xfId="0" applyNumberFormat="1" applyFont="1" applyFill="1" applyAlignment="1">
      <alignment vertical="center"/>
    </xf>
    <xf numFmtId="49" fontId="40" fillId="0" borderId="0" xfId="0" applyNumberFormat="1" applyFont="1" applyFill="1" applyAlignment="1">
      <alignment horizontal="center" vertical="center"/>
    </xf>
    <xf numFmtId="0" fontId="45" fillId="0" borderId="0" xfId="0" applyFont="1" applyFill="1" applyAlignment="1">
      <alignment vertical="center"/>
    </xf>
    <xf numFmtId="0" fontId="40" fillId="0" borderId="0" xfId="0" applyFont="1" applyFill="1" applyAlignment="1">
      <alignment horizontal="right" vertical="center"/>
    </xf>
    <xf numFmtId="168" fontId="39" fillId="0" borderId="19" xfId="0" applyNumberFormat="1" applyFont="1" applyFill="1" applyBorder="1" applyAlignment="1">
      <alignment vertical="center"/>
    </xf>
    <xf numFmtId="49" fontId="40" fillId="0" borderId="17" xfId="0" applyNumberFormat="1" applyFont="1" applyFill="1" applyBorder="1" applyAlignment="1">
      <alignment horizontal="center" vertical="center"/>
    </xf>
    <xf numFmtId="0" fontId="45" fillId="0" borderId="19" xfId="0" applyFont="1" applyFill="1" applyBorder="1" applyAlignment="1">
      <alignment horizontal="left" vertical="center" wrapText="1"/>
    </xf>
    <xf numFmtId="4" fontId="40" fillId="0" borderId="19" xfId="0" applyNumberFormat="1" applyFont="1" applyFill="1" applyBorder="1" applyAlignment="1">
      <alignment horizontal="right" vertical="center"/>
    </xf>
    <xf numFmtId="168" fontId="40" fillId="0" borderId="19" xfId="0" applyNumberFormat="1" applyFont="1" applyFill="1" applyBorder="1" applyAlignment="1">
      <alignment vertical="center"/>
    </xf>
    <xf numFmtId="168" fontId="40" fillId="0" borderId="20" xfId="0" applyNumberFormat="1" applyFont="1" applyFill="1" applyBorder="1" applyAlignment="1">
      <alignment horizontal="right" vertical="center"/>
    </xf>
    <xf numFmtId="4" fontId="40" fillId="0" borderId="0" xfId="0" applyNumberFormat="1" applyFont="1" applyFill="1" applyAlignment="1">
      <alignment horizontal="right" vertical="center"/>
    </xf>
    <xf numFmtId="4" fontId="39" fillId="0" borderId="15" xfId="0" applyNumberFormat="1" applyFont="1" applyFill="1" applyBorder="1" applyAlignment="1">
      <alignment vertical="center"/>
    </xf>
    <xf numFmtId="49" fontId="40" fillId="0" borderId="45" xfId="0" applyNumberFormat="1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left" vertical="center" wrapText="1"/>
    </xf>
    <xf numFmtId="4" fontId="40" fillId="0" borderId="15" xfId="0" applyNumberFormat="1" applyFont="1" applyFill="1" applyBorder="1" applyAlignment="1">
      <alignment horizontal="right" vertical="center"/>
    </xf>
    <xf numFmtId="168" fontId="40" fillId="0" borderId="16" xfId="0" applyNumberFormat="1" applyFont="1" applyFill="1" applyBorder="1" applyAlignment="1">
      <alignment horizontal="right" vertical="center"/>
    </xf>
    <xf numFmtId="0" fontId="46" fillId="0" borderId="15" xfId="0" applyFont="1" applyFill="1" applyBorder="1" applyAlignment="1">
      <alignment horizontal="left" vertical="center" wrapText="1"/>
    </xf>
    <xf numFmtId="4" fontId="39" fillId="0" borderId="15" xfId="0" applyNumberFormat="1" applyFont="1" applyFill="1" applyBorder="1" applyAlignment="1">
      <alignment horizontal="right" vertical="center"/>
    </xf>
    <xf numFmtId="168" fontId="39" fillId="0" borderId="16" xfId="0" applyNumberFormat="1" applyFont="1" applyFill="1" applyBorder="1" applyAlignment="1">
      <alignment horizontal="right" vertical="center"/>
    </xf>
    <xf numFmtId="0" fontId="45" fillId="0" borderId="15" xfId="0" applyFont="1" applyFill="1" applyBorder="1" applyAlignment="1">
      <alignment horizontal="left" vertical="center"/>
    </xf>
    <xf numFmtId="49" fontId="40" fillId="0" borderId="17" xfId="0" applyNumberFormat="1" applyFont="1" applyFill="1" applyBorder="1" applyAlignment="1">
      <alignment horizontal="center" vertical="center" wrapText="1"/>
    </xf>
    <xf numFmtId="49" fontId="40" fillId="0" borderId="45" xfId="0" applyNumberFormat="1" applyFont="1" applyFill="1" applyBorder="1" applyAlignment="1">
      <alignment horizontal="center" vertical="center" wrapText="1"/>
    </xf>
    <xf numFmtId="49" fontId="40" fillId="0" borderId="15" xfId="0" applyNumberFormat="1" applyFont="1" applyBorder="1" applyAlignment="1">
      <alignment vertical="center" wrapText="1"/>
    </xf>
    <xf numFmtId="168" fontId="40" fillId="0" borderId="15" xfId="0" applyNumberFormat="1" applyFont="1" applyFill="1" applyBorder="1" applyAlignment="1">
      <alignment vertical="center"/>
    </xf>
    <xf numFmtId="49" fontId="40" fillId="0" borderId="26" xfId="0" applyNumberFormat="1" applyFont="1" applyFill="1" applyBorder="1" applyAlignment="1">
      <alignment horizontal="center" vertical="center" wrapText="1"/>
    </xf>
    <xf numFmtId="49" fontId="39" fillId="0" borderId="17" xfId="0" applyNumberFormat="1" applyFont="1" applyFill="1" applyBorder="1" applyAlignment="1">
      <alignment horizontal="center" vertical="center" wrapText="1"/>
    </xf>
    <xf numFmtId="49" fontId="40" fillId="0" borderId="11" xfId="0" applyNumberFormat="1" applyFont="1" applyFill="1" applyBorder="1" applyAlignment="1">
      <alignment horizontal="center" vertical="center" wrapText="1"/>
    </xf>
    <xf numFmtId="49" fontId="40" fillId="0" borderId="10" xfId="0" applyNumberFormat="1" applyFont="1" applyFill="1" applyBorder="1" applyAlignment="1">
      <alignment horizontal="center" vertical="center" wrapText="1"/>
    </xf>
    <xf numFmtId="4" fontId="40" fillId="0" borderId="10" xfId="0" applyNumberFormat="1" applyFont="1" applyFill="1" applyBorder="1" applyAlignment="1">
      <alignment horizontal="right" vertical="center"/>
    </xf>
    <xf numFmtId="49" fontId="39" fillId="0" borderId="15" xfId="0" applyNumberFormat="1" applyFont="1" applyFill="1" applyBorder="1" applyAlignment="1">
      <alignment horizontal="center" vertical="center" wrapText="1"/>
    </xf>
    <xf numFmtId="49" fontId="40" fillId="0" borderId="15" xfId="0" applyNumberFormat="1" applyFont="1" applyFill="1" applyBorder="1" applyAlignment="1">
      <alignment horizontal="center" vertical="center" wrapText="1"/>
    </xf>
    <xf numFmtId="168" fontId="40" fillId="0" borderId="0" xfId="0" applyNumberFormat="1" applyFont="1" applyFill="1" applyAlignment="1">
      <alignment vertical="center"/>
    </xf>
    <xf numFmtId="168" fontId="40" fillId="0" borderId="0" xfId="0" applyNumberFormat="1" applyFont="1" applyFill="1" applyAlignment="1">
      <alignment horizontal="right" vertical="center"/>
    </xf>
    <xf numFmtId="3" fontId="40" fillId="0" borderId="0" xfId="0" applyNumberFormat="1" applyFont="1" applyFill="1" applyAlignment="1">
      <alignment horizontal="right" vertical="center"/>
    </xf>
    <xf numFmtId="3" fontId="40" fillId="0" borderId="0" xfId="0" applyNumberFormat="1" applyFont="1" applyFill="1" applyAlignment="1">
      <alignment vertical="center"/>
    </xf>
    <xf numFmtId="3" fontId="39" fillId="0" borderId="0" xfId="0" applyNumberFormat="1" applyFont="1" applyFill="1" applyAlignment="1">
      <alignment vertical="center"/>
    </xf>
    <xf numFmtId="0" fontId="39" fillId="35" borderId="17" xfId="0" applyFont="1" applyFill="1" applyBorder="1" applyAlignment="1">
      <alignment horizontal="center" vertical="center"/>
    </xf>
    <xf numFmtId="4" fontId="39" fillId="35" borderId="15" xfId="0" applyNumberFormat="1" applyFont="1" applyFill="1" applyBorder="1" applyAlignment="1">
      <alignment vertical="center"/>
    </xf>
    <xf numFmtId="0" fontId="40" fillId="35" borderId="0" xfId="0" applyFont="1" applyFill="1" applyAlignment="1">
      <alignment vertical="center"/>
    </xf>
    <xf numFmtId="0" fontId="39" fillId="0" borderId="17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40" fillId="35" borderId="17" xfId="0" applyFont="1" applyFill="1" applyBorder="1" applyAlignment="1">
      <alignment horizontal="center" vertical="center"/>
    </xf>
    <xf numFmtId="49" fontId="40" fillId="35" borderId="15" xfId="0" applyNumberFormat="1" applyFont="1" applyFill="1" applyBorder="1" applyAlignment="1">
      <alignment horizontal="center" vertical="center"/>
    </xf>
    <xf numFmtId="4" fontId="40" fillId="35" borderId="15" xfId="0" applyNumberFormat="1" applyFont="1" applyFill="1" applyBorder="1" applyAlignment="1">
      <alignment vertical="center"/>
    </xf>
    <xf numFmtId="4" fontId="40" fillId="35" borderId="44" xfId="0" applyNumberFormat="1" applyFont="1" applyFill="1" applyBorder="1" applyAlignment="1">
      <alignment vertical="center"/>
    </xf>
    <xf numFmtId="4" fontId="40" fillId="35" borderId="16" xfId="0" applyNumberFormat="1" applyFont="1" applyFill="1" applyBorder="1" applyAlignment="1">
      <alignment vertical="center"/>
    </xf>
    <xf numFmtId="4" fontId="40" fillId="0" borderId="16" xfId="0" applyNumberFormat="1" applyFont="1" applyBorder="1" applyAlignment="1">
      <alignment vertical="center"/>
    </xf>
    <xf numFmtId="0" fontId="40" fillId="35" borderId="15" xfId="0" applyFont="1" applyFill="1" applyBorder="1" applyAlignment="1">
      <alignment horizontal="center" vertical="center"/>
    </xf>
    <xf numFmtId="0" fontId="40" fillId="39" borderId="15" xfId="0" applyFont="1" applyFill="1" applyBorder="1" applyAlignment="1">
      <alignment horizontal="center" vertical="center"/>
    </xf>
    <xf numFmtId="4" fontId="40" fillId="39" borderId="15" xfId="0" applyNumberFormat="1" applyFont="1" applyFill="1" applyBorder="1" applyAlignment="1">
      <alignment vertical="center"/>
    </xf>
    <xf numFmtId="4" fontId="40" fillId="39" borderId="44" xfId="0" applyNumberFormat="1" applyFont="1" applyFill="1" applyBorder="1" applyAlignment="1">
      <alignment vertical="center"/>
    </xf>
    <xf numFmtId="4" fontId="40" fillId="39" borderId="16" xfId="0" applyNumberFormat="1" applyFont="1" applyFill="1" applyBorder="1" applyAlignment="1">
      <alignment vertical="center"/>
    </xf>
    <xf numFmtId="0" fontId="40" fillId="39" borderId="0" xfId="0" applyFont="1" applyFill="1" applyAlignment="1">
      <alignment vertical="center"/>
    </xf>
    <xf numFmtId="0" fontId="40" fillId="35" borderId="24" xfId="0" applyFont="1" applyFill="1" applyBorder="1" applyAlignment="1">
      <alignment horizontal="center" vertical="center"/>
    </xf>
    <xf numFmtId="4" fontId="40" fillId="35" borderId="19" xfId="0" applyNumberFormat="1" applyFont="1" applyFill="1" applyBorder="1" applyAlignment="1">
      <alignment vertical="center"/>
    </xf>
    <xf numFmtId="4" fontId="40" fillId="35" borderId="27" xfId="0" applyNumberFormat="1" applyFont="1" applyFill="1" applyBorder="1" applyAlignment="1">
      <alignment vertical="center"/>
    </xf>
    <xf numFmtId="4" fontId="40" fillId="35" borderId="20" xfId="0" applyNumberFormat="1" applyFont="1" applyFill="1" applyBorder="1" applyAlignment="1">
      <alignment vertical="center"/>
    </xf>
    <xf numFmtId="49" fontId="40" fillId="35" borderId="19" xfId="0" applyNumberFormat="1" applyFont="1" applyFill="1" applyBorder="1" applyAlignment="1">
      <alignment horizontal="center" vertical="center"/>
    </xf>
    <xf numFmtId="49" fontId="40" fillId="0" borderId="43" xfId="0" applyNumberFormat="1" applyFont="1" applyBorder="1" applyAlignment="1">
      <alignment horizontal="center" vertical="center"/>
    </xf>
    <xf numFmtId="4" fontId="40" fillId="0" borderId="46" xfId="0" applyNumberFormat="1" applyFont="1" applyBorder="1" applyAlignment="1">
      <alignment vertical="center"/>
    </xf>
    <xf numFmtId="4" fontId="40" fillId="0" borderId="47" xfId="0" applyNumberFormat="1" applyFont="1" applyBorder="1" applyAlignment="1">
      <alignment vertical="center"/>
    </xf>
    <xf numFmtId="4" fontId="40" fillId="35" borderId="15" xfId="0" applyNumberFormat="1" applyFont="1" applyFill="1" applyBorder="1" applyAlignment="1">
      <alignment horizontal="right" vertical="center"/>
    </xf>
    <xf numFmtId="0" fontId="40" fillId="0" borderId="0" xfId="59" applyFont="1" applyAlignment="1">
      <alignment vertical="center"/>
      <protection/>
    </xf>
    <xf numFmtId="0" fontId="40" fillId="0" borderId="0" xfId="59" applyFont="1" applyAlignment="1">
      <alignment horizontal="center" vertical="center"/>
      <protection/>
    </xf>
    <xf numFmtId="0" fontId="40" fillId="0" borderId="0" xfId="59" applyFont="1" applyAlignment="1">
      <alignment horizontal="left" vertical="center"/>
      <protection/>
    </xf>
    <xf numFmtId="166" fontId="40" fillId="0" borderId="0" xfId="59" applyNumberFormat="1" applyFont="1" applyAlignment="1">
      <alignment vertical="center"/>
      <protection/>
    </xf>
    <xf numFmtId="4" fontId="40" fillId="0" borderId="0" xfId="59" applyNumberFormat="1" applyFont="1" applyAlignment="1">
      <alignment vertical="center"/>
      <protection/>
    </xf>
    <xf numFmtId="0" fontId="40" fillId="0" borderId="0" xfId="0" applyFont="1" applyAlignment="1">
      <alignment vertical="center" wrapText="1"/>
    </xf>
    <xf numFmtId="0" fontId="40" fillId="0" borderId="0" xfId="0" applyFont="1" applyBorder="1" applyAlignment="1">
      <alignment vertical="center" wrapText="1"/>
    </xf>
    <xf numFmtId="164" fontId="40" fillId="0" borderId="0" xfId="0" applyNumberFormat="1" applyFont="1" applyAlignment="1">
      <alignment horizontal="right" vertical="center"/>
    </xf>
    <xf numFmtId="168" fontId="40" fillId="0" borderId="0" xfId="0" applyNumberFormat="1" applyFont="1" applyAlignment="1">
      <alignment horizontal="right" vertical="center"/>
    </xf>
    <xf numFmtId="0" fontId="11" fillId="35" borderId="31" xfId="0" applyFont="1" applyFill="1" applyBorder="1" applyAlignment="1">
      <alignment horizontal="center" vertical="center"/>
    </xf>
    <xf numFmtId="0" fontId="11" fillId="35" borderId="32" xfId="0" applyFont="1" applyFill="1" applyBorder="1" applyAlignment="1">
      <alignment horizontal="center" vertical="center"/>
    </xf>
    <xf numFmtId="0" fontId="11" fillId="35" borderId="32" xfId="0" applyFont="1" applyFill="1" applyBorder="1" applyAlignment="1">
      <alignment horizontal="center" vertical="center" wrapText="1"/>
    </xf>
    <xf numFmtId="0" fontId="11" fillId="35" borderId="34" xfId="0" applyFont="1" applyFill="1" applyBorder="1" applyAlignment="1">
      <alignment horizontal="center" vertical="center" wrapText="1"/>
    </xf>
    <xf numFmtId="0" fontId="12" fillId="35" borderId="48" xfId="0" applyFont="1" applyFill="1" applyBorder="1" applyAlignment="1">
      <alignment horizontal="center" vertical="center"/>
    </xf>
    <xf numFmtId="0" fontId="12" fillId="35" borderId="49" xfId="0" applyFont="1" applyFill="1" applyBorder="1" applyAlignment="1">
      <alignment horizontal="center" vertical="center"/>
    </xf>
    <xf numFmtId="0" fontId="12" fillId="35" borderId="50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1" fillId="36" borderId="51" xfId="0" applyFont="1" applyFill="1" applyBorder="1" applyAlignment="1">
      <alignment horizontal="center" vertical="center"/>
    </xf>
    <xf numFmtId="4" fontId="11" fillId="36" borderId="32" xfId="0" applyNumberFormat="1" applyFont="1" applyFill="1" applyBorder="1" applyAlignment="1">
      <alignment horizontal="right" vertical="center"/>
    </xf>
    <xf numFmtId="168" fontId="11" fillId="36" borderId="34" xfId="0" applyNumberFormat="1" applyFont="1" applyFill="1" applyBorder="1" applyAlignment="1">
      <alignment horizontal="right" vertical="center"/>
    </xf>
    <xf numFmtId="0" fontId="10" fillId="0" borderId="24" xfId="0" applyFont="1" applyBorder="1" applyAlignment="1">
      <alignment horizontal="center" vertical="center"/>
    </xf>
    <xf numFmtId="0" fontId="10" fillId="0" borderId="52" xfId="0" applyFont="1" applyBorder="1" applyAlignment="1">
      <alignment horizontal="left" vertical="center" wrapText="1"/>
    </xf>
    <xf numFmtId="0" fontId="10" fillId="0" borderId="52" xfId="0" applyFont="1" applyBorder="1" applyAlignment="1">
      <alignment horizontal="center" vertical="center"/>
    </xf>
    <xf numFmtId="4" fontId="10" fillId="0" borderId="52" xfId="0" applyNumberFormat="1" applyFont="1" applyBorder="1" applyAlignment="1">
      <alignment horizontal="right" vertical="center"/>
    </xf>
    <xf numFmtId="168" fontId="10" fillId="0" borderId="53" xfId="0" applyNumberFormat="1" applyFont="1" applyBorder="1" applyAlignment="1">
      <alignment horizontal="right" vertical="center"/>
    </xf>
    <xf numFmtId="4" fontId="10" fillId="0" borderId="0" xfId="0" applyNumberFormat="1" applyFont="1" applyAlignment="1">
      <alignment vertical="center"/>
    </xf>
    <xf numFmtId="0" fontId="10" fillId="0" borderId="15" xfId="0" applyFont="1" applyBorder="1" applyAlignment="1">
      <alignment horizontal="center" vertical="center"/>
    </xf>
    <xf numFmtId="4" fontId="10" fillId="0" borderId="15" xfId="0" applyNumberFormat="1" applyFont="1" applyBorder="1" applyAlignment="1">
      <alignment horizontal="right" vertical="center"/>
    </xf>
    <xf numFmtId="168" fontId="10" fillId="0" borderId="16" xfId="0" applyNumberFormat="1" applyFont="1" applyBorder="1" applyAlignment="1">
      <alignment horizontal="right" vertical="center"/>
    </xf>
    <xf numFmtId="0" fontId="10" fillId="0" borderId="22" xfId="0" applyFont="1" applyBorder="1" applyAlignment="1">
      <alignment horizontal="center" vertical="center"/>
    </xf>
    <xf numFmtId="0" fontId="10" fillId="0" borderId="27" xfId="0" applyFont="1" applyBorder="1" applyAlignment="1">
      <alignment vertical="center" wrapText="1"/>
    </xf>
    <xf numFmtId="4" fontId="10" fillId="0" borderId="19" xfId="0" applyNumberFormat="1" applyFont="1" applyBorder="1" applyAlignment="1">
      <alignment horizontal="right" vertical="center"/>
    </xf>
    <xf numFmtId="0" fontId="10" fillId="0" borderId="3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49" fontId="13" fillId="0" borderId="15" xfId="0" applyNumberFormat="1" applyFont="1" applyBorder="1" applyAlignment="1">
      <alignment vertical="center" wrapText="1"/>
    </xf>
    <xf numFmtId="0" fontId="13" fillId="0" borderId="15" xfId="0" applyFont="1" applyBorder="1" applyAlignment="1">
      <alignment horizontal="center" vertical="center"/>
    </xf>
    <xf numFmtId="4" fontId="13" fillId="0" borderId="15" xfId="0" applyNumberFormat="1" applyFont="1" applyBorder="1" applyAlignment="1">
      <alignment horizontal="right" vertical="center"/>
    </xf>
    <xf numFmtId="168" fontId="13" fillId="0" borderId="16" xfId="0" applyNumberFormat="1" applyFont="1" applyBorder="1" applyAlignment="1">
      <alignment horizontal="right" vertical="center"/>
    </xf>
    <xf numFmtId="0" fontId="13" fillId="0" borderId="15" xfId="0" applyFont="1" applyFill="1" applyBorder="1" applyAlignment="1">
      <alignment horizontal="center" vertical="center"/>
    </xf>
    <xf numFmtId="4" fontId="13" fillId="0" borderId="0" xfId="0" applyNumberFormat="1" applyFont="1" applyAlignment="1">
      <alignment vertical="center"/>
    </xf>
    <xf numFmtId="0" fontId="10" fillId="0" borderId="48" xfId="0" applyFont="1" applyBorder="1" applyAlignment="1">
      <alignment horizontal="center" vertical="center"/>
    </xf>
    <xf numFmtId="49" fontId="10" fillId="0" borderId="49" xfId="0" applyNumberFormat="1" applyFont="1" applyBorder="1" applyAlignment="1">
      <alignment vertical="center" wrapText="1"/>
    </xf>
    <xf numFmtId="0" fontId="10" fillId="0" borderId="49" xfId="0" applyFont="1" applyFill="1" applyBorder="1" applyAlignment="1">
      <alignment horizontal="center" vertical="center"/>
    </xf>
    <xf numFmtId="4" fontId="10" fillId="0" borderId="49" xfId="0" applyNumberFormat="1" applyFont="1" applyBorder="1" applyAlignment="1">
      <alignment horizontal="right" vertical="center"/>
    </xf>
    <xf numFmtId="168" fontId="10" fillId="0" borderId="50" xfId="0" applyNumberFormat="1" applyFont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right"/>
    </xf>
    <xf numFmtId="4" fontId="10" fillId="0" borderId="0" xfId="0" applyNumberFormat="1" applyFont="1" applyAlignment="1">
      <alignment horizontal="center" vertical="center"/>
    </xf>
    <xf numFmtId="4" fontId="10" fillId="0" borderId="0" xfId="0" applyNumberFormat="1" applyFont="1" applyAlignment="1">
      <alignment horizontal="right" vertical="center"/>
    </xf>
    <xf numFmtId="4" fontId="11" fillId="0" borderId="0" xfId="0" applyNumberFormat="1" applyFont="1" applyAlignment="1">
      <alignment horizontal="center" vertical="center"/>
    </xf>
    <xf numFmtId="4" fontId="11" fillId="0" borderId="0" xfId="0" applyNumberFormat="1" applyFont="1" applyAlignment="1">
      <alignment vertical="center"/>
    </xf>
    <xf numFmtId="4" fontId="11" fillId="0" borderId="0" xfId="0" applyNumberFormat="1" applyFont="1" applyAlignment="1">
      <alignment horizontal="righ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166" fontId="10" fillId="0" borderId="0" xfId="0" applyNumberFormat="1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49" fontId="11" fillId="35" borderId="31" xfId="0" applyNumberFormat="1" applyFont="1" applyFill="1" applyBorder="1" applyAlignment="1">
      <alignment horizontal="center" vertical="center"/>
    </xf>
    <xf numFmtId="49" fontId="11" fillId="35" borderId="32" xfId="0" applyNumberFormat="1" applyFont="1" applyFill="1" applyBorder="1" applyAlignment="1">
      <alignment horizontal="center" vertical="center"/>
    </xf>
    <xf numFmtId="0" fontId="11" fillId="35" borderId="54" xfId="0" applyFont="1" applyFill="1" applyBorder="1" applyAlignment="1">
      <alignment horizontal="center" vertical="center"/>
    </xf>
    <xf numFmtId="166" fontId="11" fillId="35" borderId="34" xfId="0" applyNumberFormat="1" applyFont="1" applyFill="1" applyBorder="1" applyAlignment="1">
      <alignment horizontal="center" vertical="center"/>
    </xf>
    <xf numFmtId="49" fontId="12" fillId="35" borderId="48" xfId="0" applyNumberFormat="1" applyFont="1" applyFill="1" applyBorder="1" applyAlignment="1">
      <alignment horizontal="center" vertical="center"/>
    </xf>
    <xf numFmtId="49" fontId="12" fillId="35" borderId="49" xfId="0" applyNumberFormat="1" applyFont="1" applyFill="1" applyBorder="1" applyAlignment="1">
      <alignment horizontal="center" vertical="center"/>
    </xf>
    <xf numFmtId="0" fontId="12" fillId="35" borderId="55" xfId="0" applyFont="1" applyFill="1" applyBorder="1" applyAlignment="1">
      <alignment horizontal="center" vertical="center"/>
    </xf>
    <xf numFmtId="1" fontId="12" fillId="35" borderId="5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top"/>
    </xf>
    <xf numFmtId="49" fontId="11" fillId="0" borderId="21" xfId="0" applyNumberFormat="1" applyFont="1" applyFill="1" applyBorder="1" applyAlignment="1">
      <alignment horizontal="center" vertical="top"/>
    </xf>
    <xf numFmtId="49" fontId="11" fillId="0" borderId="21" xfId="0" applyNumberFormat="1" applyFont="1" applyFill="1" applyBorder="1" applyAlignment="1">
      <alignment horizontal="left" vertical="top"/>
    </xf>
    <xf numFmtId="4" fontId="11" fillId="0" borderId="10" xfId="0" applyNumberFormat="1" applyFont="1" applyFill="1" applyBorder="1" applyAlignment="1">
      <alignment horizontal="right" vertical="top"/>
    </xf>
    <xf numFmtId="166" fontId="11" fillId="0" borderId="12" xfId="0" applyNumberFormat="1" applyFont="1" applyFill="1" applyBorder="1" applyAlignment="1">
      <alignment horizontal="right" vertical="top"/>
    </xf>
    <xf numFmtId="0" fontId="11" fillId="0" borderId="0" xfId="0" applyFont="1" applyAlignment="1">
      <alignment horizontal="center" vertical="top"/>
    </xf>
    <xf numFmtId="49" fontId="10" fillId="0" borderId="11" xfId="0" applyNumberFormat="1" applyFont="1" applyFill="1" applyBorder="1" applyAlignment="1">
      <alignment horizontal="center" vertical="top"/>
    </xf>
    <xf numFmtId="49" fontId="10" fillId="0" borderId="21" xfId="0" applyNumberFormat="1" applyFont="1" applyFill="1" applyBorder="1" applyAlignment="1">
      <alignment horizontal="center" vertical="top"/>
    </xf>
    <xf numFmtId="49" fontId="10" fillId="0" borderId="10" xfId="0" applyNumberFormat="1" applyFont="1" applyFill="1" applyBorder="1" applyAlignment="1">
      <alignment vertical="top" wrapText="1"/>
    </xf>
    <xf numFmtId="4" fontId="10" fillId="0" borderId="10" xfId="0" applyNumberFormat="1" applyFont="1" applyFill="1" applyBorder="1" applyAlignment="1">
      <alignment horizontal="right" vertical="top"/>
    </xf>
    <xf numFmtId="166" fontId="10" fillId="0" borderId="12" xfId="0" applyNumberFormat="1" applyFont="1" applyFill="1" applyBorder="1" applyAlignment="1">
      <alignment horizontal="right" vertical="top"/>
    </xf>
    <xf numFmtId="0" fontId="10" fillId="0" borderId="0" xfId="0" applyFont="1" applyAlignment="1">
      <alignment horizontal="center" vertical="top"/>
    </xf>
    <xf numFmtId="49" fontId="13" fillId="0" borderId="11" xfId="0" applyNumberFormat="1" applyFont="1" applyFill="1" applyBorder="1" applyAlignment="1">
      <alignment horizontal="center" vertical="top"/>
    </xf>
    <xf numFmtId="49" fontId="13" fillId="0" borderId="21" xfId="0" applyNumberFormat="1" applyFont="1" applyFill="1" applyBorder="1" applyAlignment="1">
      <alignment horizontal="center" vertical="top"/>
    </xf>
    <xf numFmtId="0" fontId="13" fillId="0" borderId="10" xfId="0" applyFont="1" applyBorder="1" applyAlignment="1">
      <alignment horizontal="center" vertical="top" wrapText="1"/>
    </xf>
    <xf numFmtId="49" fontId="13" fillId="0" borderId="10" xfId="0" applyNumberFormat="1" applyFont="1" applyBorder="1" applyAlignment="1">
      <alignment vertical="top" wrapText="1"/>
    </xf>
    <xf numFmtId="4" fontId="13" fillId="0" borderId="10" xfId="0" applyNumberFormat="1" applyFont="1" applyFill="1" applyBorder="1" applyAlignment="1">
      <alignment horizontal="right" vertical="top"/>
    </xf>
    <xf numFmtId="166" fontId="13" fillId="0" borderId="12" xfId="0" applyNumberFormat="1" applyFont="1" applyFill="1" applyBorder="1" applyAlignment="1">
      <alignment horizontal="right" vertical="top"/>
    </xf>
    <xf numFmtId="0" fontId="13" fillId="0" borderId="0" xfId="0" applyFont="1" applyAlignment="1">
      <alignment horizontal="center" vertical="top"/>
    </xf>
    <xf numFmtId="49" fontId="11" fillId="0" borderId="10" xfId="0" applyNumberFormat="1" applyFont="1" applyFill="1" applyBorder="1" applyAlignment="1">
      <alignment horizontal="center" vertical="top"/>
    </xf>
    <xf numFmtId="49" fontId="11" fillId="0" borderId="10" xfId="0" applyNumberFormat="1" applyFont="1" applyFill="1" applyBorder="1" applyAlignment="1">
      <alignment vertical="top"/>
    </xf>
    <xf numFmtId="4" fontId="11" fillId="0" borderId="10" xfId="0" applyNumberFormat="1" applyFont="1" applyFill="1" applyBorder="1" applyAlignment="1">
      <alignment vertical="top"/>
    </xf>
    <xf numFmtId="0" fontId="11" fillId="0" borderId="0" xfId="0" applyFont="1" applyAlignment="1">
      <alignment vertical="top"/>
    </xf>
    <xf numFmtId="49" fontId="10" fillId="0" borderId="10" xfId="0" applyNumberFormat="1" applyFont="1" applyFill="1" applyBorder="1" applyAlignment="1">
      <alignment horizontal="center" vertical="top"/>
    </xf>
    <xf numFmtId="49" fontId="10" fillId="0" borderId="10" xfId="0" applyNumberFormat="1" applyFont="1" applyFill="1" applyBorder="1" applyAlignment="1">
      <alignment vertical="top"/>
    </xf>
    <xf numFmtId="4" fontId="10" fillId="0" borderId="10" xfId="0" applyNumberFormat="1" applyFont="1" applyFill="1" applyBorder="1" applyAlignment="1">
      <alignment vertical="top"/>
    </xf>
    <xf numFmtId="0" fontId="10" fillId="0" borderId="0" xfId="0" applyFont="1" applyAlignment="1">
      <alignment vertical="top"/>
    </xf>
    <xf numFmtId="49" fontId="13" fillId="0" borderId="10" xfId="0" applyNumberFormat="1" applyFont="1" applyFill="1" applyBorder="1" applyAlignment="1">
      <alignment horizontal="center" vertical="top"/>
    </xf>
    <xf numFmtId="49" fontId="13" fillId="0" borderId="10" xfId="0" applyNumberFormat="1" applyFont="1" applyFill="1" applyBorder="1" applyAlignment="1">
      <alignment vertical="top"/>
    </xf>
    <xf numFmtId="4" fontId="13" fillId="0" borderId="10" xfId="0" applyNumberFormat="1" applyFont="1" applyFill="1" applyBorder="1" applyAlignment="1">
      <alignment vertical="top"/>
    </xf>
    <xf numFmtId="0" fontId="13" fillId="0" borderId="0" xfId="0" applyFont="1" applyAlignment="1">
      <alignment vertical="top"/>
    </xf>
    <xf numFmtId="49" fontId="13" fillId="0" borderId="10" xfId="0" applyNumberFormat="1" applyFont="1" applyFill="1" applyBorder="1" applyAlignment="1">
      <alignment vertical="top" wrapText="1"/>
    </xf>
    <xf numFmtId="49" fontId="33" fillId="0" borderId="11" xfId="0" applyNumberFormat="1" applyFont="1" applyFill="1" applyBorder="1" applyAlignment="1">
      <alignment horizontal="center" vertical="top"/>
    </xf>
    <xf numFmtId="49" fontId="33" fillId="0" borderId="10" xfId="0" applyNumberFormat="1" applyFont="1" applyFill="1" applyBorder="1" applyAlignment="1">
      <alignment horizontal="center" vertical="top"/>
    </xf>
    <xf numFmtId="49" fontId="33" fillId="0" borderId="10" xfId="0" applyNumberFormat="1" applyFont="1" applyBorder="1" applyAlignment="1">
      <alignment horizontal="center" vertical="top" wrapText="1"/>
    </xf>
    <xf numFmtId="49" fontId="33" fillId="0" borderId="10" xfId="0" applyNumberFormat="1" applyFont="1" applyBorder="1" applyAlignment="1">
      <alignment vertical="top" wrapText="1"/>
    </xf>
    <xf numFmtId="4" fontId="33" fillId="0" borderId="14" xfId="0" applyNumberFormat="1" applyFont="1" applyFill="1" applyBorder="1" applyAlignment="1">
      <alignment vertical="top"/>
    </xf>
    <xf numFmtId="4" fontId="33" fillId="0" borderId="10" xfId="0" applyNumberFormat="1" applyFont="1" applyFill="1" applyBorder="1" applyAlignment="1">
      <alignment vertical="top"/>
    </xf>
    <xf numFmtId="166" fontId="33" fillId="0" borderId="12" xfId="0" applyNumberFormat="1" applyFont="1" applyFill="1" applyBorder="1" applyAlignment="1">
      <alignment horizontal="right" vertical="top"/>
    </xf>
    <xf numFmtId="0" fontId="33" fillId="0" borderId="0" xfId="0" applyFont="1" applyAlignment="1">
      <alignment vertical="top"/>
    </xf>
    <xf numFmtId="4" fontId="10" fillId="0" borderId="14" xfId="0" applyNumberFormat="1" applyFont="1" applyFill="1" applyBorder="1" applyAlignment="1">
      <alignment vertical="top"/>
    </xf>
    <xf numFmtId="166" fontId="10" fillId="0" borderId="41" xfId="0" applyNumberFormat="1" applyFont="1" applyFill="1" applyBorder="1" applyAlignment="1">
      <alignment horizontal="right" vertical="top"/>
    </xf>
    <xf numFmtId="4" fontId="13" fillId="0" borderId="14" xfId="0" applyNumberFormat="1" applyFont="1" applyFill="1" applyBorder="1" applyAlignment="1">
      <alignment vertical="top"/>
    </xf>
    <xf numFmtId="49" fontId="33" fillId="0" borderId="14" xfId="0" applyNumberFormat="1" applyFont="1" applyFill="1" applyBorder="1" applyAlignment="1">
      <alignment horizontal="center" vertical="top"/>
    </xf>
    <xf numFmtId="4" fontId="33" fillId="0" borderId="10" xfId="0" applyNumberFormat="1" applyFont="1" applyFill="1" applyBorder="1" applyAlignment="1">
      <alignment horizontal="right" vertical="top"/>
    </xf>
    <xf numFmtId="166" fontId="33" fillId="0" borderId="12" xfId="0" applyNumberFormat="1" applyFont="1" applyFill="1" applyBorder="1" applyAlignment="1">
      <alignment horizontal="right" vertical="top"/>
    </xf>
    <xf numFmtId="49" fontId="11" fillId="0" borderId="10" xfId="0" applyNumberFormat="1" applyFont="1" applyFill="1" applyBorder="1" applyAlignment="1">
      <alignment vertical="top" wrapText="1"/>
    </xf>
    <xf numFmtId="4" fontId="11" fillId="0" borderId="0" xfId="0" applyNumberFormat="1" applyFont="1" applyBorder="1" applyAlignment="1">
      <alignment vertical="top"/>
    </xf>
    <xf numFmtId="4" fontId="11" fillId="0" borderId="10" xfId="0" applyNumberFormat="1" applyFont="1" applyBorder="1" applyAlignment="1">
      <alignment vertical="top"/>
    </xf>
    <xf numFmtId="166" fontId="11" fillId="0" borderId="41" xfId="0" applyNumberFormat="1" applyFont="1" applyFill="1" applyBorder="1" applyAlignment="1">
      <alignment horizontal="right" vertical="top"/>
    </xf>
    <xf numFmtId="4" fontId="10" fillId="0" borderId="0" xfId="0" applyNumberFormat="1" applyFont="1" applyBorder="1" applyAlignment="1">
      <alignment vertical="top"/>
    </xf>
    <xf numFmtId="4" fontId="10" fillId="0" borderId="14" xfId="0" applyNumberFormat="1" applyFont="1" applyBorder="1" applyAlignment="1">
      <alignment vertical="top"/>
    </xf>
    <xf numFmtId="166" fontId="13" fillId="0" borderId="41" xfId="0" applyNumberFormat="1" applyFont="1" applyFill="1" applyBorder="1" applyAlignment="1">
      <alignment horizontal="right" vertical="top"/>
    </xf>
    <xf numFmtId="49" fontId="13" fillId="0" borderId="14" xfId="0" applyNumberFormat="1" applyFont="1" applyFill="1" applyBorder="1" applyAlignment="1">
      <alignment horizontal="center" vertical="top"/>
    </xf>
    <xf numFmtId="49" fontId="10" fillId="0" borderId="14" xfId="0" applyNumberFormat="1" applyFont="1" applyFill="1" applyBorder="1" applyAlignment="1">
      <alignment horizontal="center" vertical="top"/>
    </xf>
    <xf numFmtId="49" fontId="13" fillId="0" borderId="11" xfId="0" applyNumberFormat="1" applyFont="1" applyBorder="1" applyAlignment="1">
      <alignment horizontal="center" vertical="top"/>
    </xf>
    <xf numFmtId="49" fontId="13" fillId="0" borderId="10" xfId="0" applyNumberFormat="1" applyFont="1" applyBorder="1" applyAlignment="1">
      <alignment horizontal="center" vertical="top"/>
    </xf>
    <xf numFmtId="49" fontId="13" fillId="0" borderId="10" xfId="0" applyNumberFormat="1" applyFont="1" applyBorder="1" applyAlignment="1">
      <alignment horizontal="center" vertical="top" wrapText="1"/>
    </xf>
    <xf numFmtId="4" fontId="13" fillId="0" borderId="10" xfId="0" applyNumberFormat="1" applyFont="1" applyBorder="1" applyAlignment="1">
      <alignment vertical="top"/>
    </xf>
    <xf numFmtId="49" fontId="36" fillId="0" borderId="11" xfId="0" applyNumberFormat="1" applyFont="1" applyFill="1" applyBorder="1" applyAlignment="1">
      <alignment horizontal="center" vertical="top"/>
    </xf>
    <xf numFmtId="49" fontId="36" fillId="0" borderId="10" xfId="0" applyNumberFormat="1" applyFont="1" applyFill="1" applyBorder="1" applyAlignment="1">
      <alignment horizontal="center" vertical="top"/>
    </xf>
    <xf numFmtId="49" fontId="33" fillId="0" borderId="10" xfId="0" applyNumberFormat="1" applyFont="1" applyFill="1" applyBorder="1" applyAlignment="1">
      <alignment vertical="top" wrapText="1"/>
    </xf>
    <xf numFmtId="0" fontId="36" fillId="0" borderId="0" xfId="0" applyFont="1" applyAlignment="1">
      <alignment vertical="top"/>
    </xf>
    <xf numFmtId="49" fontId="13" fillId="0" borderId="10" xfId="0" applyNumberFormat="1" applyFont="1" applyFill="1" applyBorder="1" applyAlignment="1">
      <alignment horizontal="center" vertical="top" wrapText="1"/>
    </xf>
    <xf numFmtId="49" fontId="13" fillId="0" borderId="21" xfId="0" applyNumberFormat="1" applyFont="1" applyFill="1" applyBorder="1" applyAlignment="1">
      <alignment vertical="top"/>
    </xf>
    <xf numFmtId="4" fontId="13" fillId="0" borderId="21" xfId="0" applyNumberFormat="1" applyFont="1" applyFill="1" applyBorder="1" applyAlignment="1">
      <alignment vertical="top"/>
    </xf>
    <xf numFmtId="4" fontId="33" fillId="0" borderId="10" xfId="0" applyNumberFormat="1" applyFont="1" applyFill="1" applyBorder="1" applyAlignment="1">
      <alignment vertical="top"/>
    </xf>
    <xf numFmtId="4" fontId="13" fillId="0" borderId="10" xfId="0" applyNumberFormat="1" applyFont="1" applyFill="1" applyBorder="1" applyAlignment="1">
      <alignment horizontal="center" vertical="top"/>
    </xf>
    <xf numFmtId="49" fontId="13" fillId="0" borderId="21" xfId="0" applyNumberFormat="1" applyFont="1" applyFill="1" applyBorder="1" applyAlignment="1">
      <alignment vertical="top" wrapText="1"/>
    </xf>
    <xf numFmtId="0" fontId="13" fillId="0" borderId="0" xfId="0" applyFont="1" applyFill="1" applyAlignment="1">
      <alignment vertical="top"/>
    </xf>
    <xf numFmtId="49" fontId="10" fillId="0" borderId="11" xfId="0" applyNumberFormat="1" applyFont="1" applyBorder="1" applyAlignment="1">
      <alignment horizontal="center" vertical="top"/>
    </xf>
    <xf numFmtId="49" fontId="10" fillId="0" borderId="10" xfId="0" applyNumberFormat="1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 wrapText="1"/>
    </xf>
    <xf numFmtId="49" fontId="10" fillId="0" borderId="10" xfId="0" applyNumberFormat="1" applyFont="1" applyBorder="1" applyAlignment="1">
      <alignment vertical="top" wrapText="1"/>
    </xf>
    <xf numFmtId="4" fontId="10" fillId="0" borderId="10" xfId="0" applyNumberFormat="1" applyFont="1" applyBorder="1" applyAlignment="1">
      <alignment vertical="top"/>
    </xf>
    <xf numFmtId="49" fontId="11" fillId="0" borderId="11" xfId="0" applyNumberFormat="1" applyFont="1" applyBorder="1" applyAlignment="1">
      <alignment horizontal="center" vertical="top"/>
    </xf>
    <xf numFmtId="49" fontId="11" fillId="0" borderId="10" xfId="0" applyNumberFormat="1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/>
    </xf>
    <xf numFmtId="49" fontId="11" fillId="0" borderId="10" xfId="0" applyNumberFormat="1" applyFont="1" applyBorder="1" applyAlignment="1">
      <alignment vertical="top"/>
    </xf>
    <xf numFmtId="49" fontId="10" fillId="0" borderId="10" xfId="0" applyNumberFormat="1" applyFont="1" applyBorder="1" applyAlignment="1">
      <alignment vertical="top"/>
    </xf>
    <xf numFmtId="49" fontId="13" fillId="0" borderId="10" xfId="0" applyNumberFormat="1" applyFont="1" applyBorder="1" applyAlignment="1">
      <alignment vertical="top"/>
    </xf>
    <xf numFmtId="49" fontId="10" fillId="0" borderId="21" xfId="0" applyNumberFormat="1" applyFont="1" applyBorder="1" applyAlignment="1">
      <alignment horizontal="center" vertical="top"/>
    </xf>
    <xf numFmtId="49" fontId="10" fillId="0" borderId="21" xfId="0" applyNumberFormat="1" applyFont="1" applyBorder="1" applyAlignment="1">
      <alignment vertical="top"/>
    </xf>
    <xf numFmtId="4" fontId="10" fillId="0" borderId="21" xfId="0" applyNumberFormat="1" applyFont="1" applyBorder="1" applyAlignment="1">
      <alignment vertical="top"/>
    </xf>
    <xf numFmtId="49" fontId="13" fillId="0" borderId="13" xfId="0" applyNumberFormat="1" applyFont="1" applyBorder="1" applyAlignment="1">
      <alignment horizontal="center" vertical="top"/>
    </xf>
    <xf numFmtId="49" fontId="13" fillId="0" borderId="14" xfId="0" applyNumberFormat="1" applyFont="1" applyBorder="1" applyAlignment="1">
      <alignment horizontal="center" vertical="top"/>
    </xf>
    <xf numFmtId="49" fontId="13" fillId="0" borderId="14" xfId="0" applyNumberFormat="1" applyFont="1" applyBorder="1" applyAlignment="1">
      <alignment vertical="top"/>
    </xf>
    <xf numFmtId="4" fontId="13" fillId="0" borderId="14" xfId="0" applyNumberFormat="1" applyFont="1" applyBorder="1" applyAlignment="1">
      <alignment vertical="top"/>
    </xf>
    <xf numFmtId="49" fontId="10" fillId="0" borderId="10" xfId="0" applyNumberFormat="1" applyFont="1" applyBorder="1" applyAlignment="1">
      <alignment horizontal="center" vertical="top" wrapText="1"/>
    </xf>
    <xf numFmtId="49" fontId="36" fillId="0" borderId="11" xfId="0" applyNumberFormat="1" applyFont="1" applyBorder="1" applyAlignment="1">
      <alignment horizontal="center" vertical="top"/>
    </xf>
    <xf numFmtId="49" fontId="36" fillId="0" borderId="10" xfId="0" applyNumberFormat="1" applyFont="1" applyBorder="1" applyAlignment="1">
      <alignment horizontal="center" vertical="top"/>
    </xf>
    <xf numFmtId="4" fontId="36" fillId="0" borderId="10" xfId="0" applyNumberFormat="1" applyFont="1" applyBorder="1" applyAlignment="1">
      <alignment vertical="top"/>
    </xf>
    <xf numFmtId="49" fontId="11" fillId="0" borderId="11" xfId="0" applyNumberFormat="1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49" fontId="11" fillId="0" borderId="10" xfId="0" applyNumberFormat="1" applyFont="1" applyBorder="1" applyAlignment="1">
      <alignment vertical="top" wrapText="1"/>
    </xf>
    <xf numFmtId="166" fontId="11" fillId="0" borderId="12" xfId="0" applyNumberFormat="1" applyFont="1" applyBorder="1" applyAlignment="1">
      <alignment horizontal="right" vertical="top"/>
    </xf>
    <xf numFmtId="166" fontId="10" fillId="0" borderId="12" xfId="0" applyNumberFormat="1" applyFont="1" applyBorder="1" applyAlignment="1">
      <alignment horizontal="right" vertical="top"/>
    </xf>
    <xf numFmtId="166" fontId="13" fillId="0" borderId="12" xfId="0" applyNumberFormat="1" applyFont="1" applyBorder="1" applyAlignment="1">
      <alignment horizontal="right" vertical="top"/>
    </xf>
    <xf numFmtId="49" fontId="14" fillId="0" borderId="11" xfId="0" applyNumberFormat="1" applyFont="1" applyBorder="1" applyAlignment="1">
      <alignment horizontal="center" vertical="top"/>
    </xf>
    <xf numFmtId="49" fontId="14" fillId="0" borderId="10" xfId="0" applyNumberFormat="1" applyFont="1" applyBorder="1" applyAlignment="1">
      <alignment horizontal="center" vertical="top"/>
    </xf>
    <xf numFmtId="49" fontId="13" fillId="0" borderId="21" xfId="0" applyNumberFormat="1" applyFont="1" applyBorder="1" applyAlignment="1">
      <alignment horizontal="center" vertical="top"/>
    </xf>
    <xf numFmtId="0" fontId="23" fillId="0" borderId="0" xfId="0" applyFont="1" applyAlignment="1">
      <alignment horizontal="center" vertical="top"/>
    </xf>
    <xf numFmtId="49" fontId="13" fillId="0" borderId="14" xfId="0" applyNumberFormat="1" applyFont="1" applyBorder="1" applyAlignment="1">
      <alignment horizontal="center" vertical="top" wrapText="1"/>
    </xf>
    <xf numFmtId="49" fontId="13" fillId="0" borderId="14" xfId="0" applyNumberFormat="1" applyFont="1" applyBorder="1" applyAlignment="1">
      <alignment vertical="top" wrapText="1"/>
    </xf>
    <xf numFmtId="0" fontId="13" fillId="0" borderId="0" xfId="0" applyFont="1" applyBorder="1" applyAlignment="1">
      <alignment vertical="top"/>
    </xf>
    <xf numFmtId="4" fontId="13" fillId="0" borderId="10" xfId="0" applyNumberFormat="1" applyFont="1" applyBorder="1" applyAlignment="1">
      <alignment vertical="top" wrapText="1"/>
    </xf>
    <xf numFmtId="49" fontId="33" fillId="0" borderId="11" xfId="0" applyNumberFormat="1" applyFont="1" applyBorder="1" applyAlignment="1">
      <alignment horizontal="center" vertical="top"/>
    </xf>
    <xf numFmtId="49" fontId="33" fillId="0" borderId="10" xfId="0" applyNumberFormat="1" applyFont="1" applyBorder="1" applyAlignment="1">
      <alignment horizontal="center" vertical="top"/>
    </xf>
    <xf numFmtId="49" fontId="33" fillId="0" borderId="21" xfId="0" applyNumberFormat="1" applyFont="1" applyFill="1" applyBorder="1" applyAlignment="1">
      <alignment vertical="top" wrapText="1"/>
    </xf>
    <xf numFmtId="4" fontId="33" fillId="0" borderId="10" xfId="0" applyNumberFormat="1" applyFont="1" applyBorder="1" applyAlignment="1">
      <alignment vertical="top"/>
    </xf>
    <xf numFmtId="49" fontId="10" fillId="0" borderId="21" xfId="0" applyNumberFormat="1" applyFont="1" applyBorder="1" applyAlignment="1">
      <alignment vertical="top" wrapText="1"/>
    </xf>
    <xf numFmtId="49" fontId="13" fillId="0" borderId="21" xfId="0" applyNumberFormat="1" applyFont="1" applyBorder="1" applyAlignment="1">
      <alignment vertical="top" wrapText="1"/>
    </xf>
    <xf numFmtId="4" fontId="13" fillId="0" borderId="21" xfId="0" applyNumberFormat="1" applyFont="1" applyBorder="1" applyAlignment="1">
      <alignment vertical="top"/>
    </xf>
    <xf numFmtId="0" fontId="10" fillId="0" borderId="21" xfId="0" applyFont="1" applyBorder="1" applyAlignment="1">
      <alignment horizontal="center" vertical="top"/>
    </xf>
    <xf numFmtId="49" fontId="10" fillId="0" borderId="0" xfId="0" applyNumberFormat="1" applyFont="1" applyBorder="1" applyAlignment="1">
      <alignment horizontal="center" vertical="top"/>
    </xf>
    <xf numFmtId="4" fontId="13" fillId="0" borderId="0" xfId="0" applyNumberFormat="1" applyFont="1" applyBorder="1" applyAlignment="1">
      <alignment vertical="top"/>
    </xf>
    <xf numFmtId="49" fontId="10" fillId="0" borderId="14" xfId="0" applyNumberFormat="1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 wrapText="1"/>
    </xf>
    <xf numFmtId="49" fontId="10" fillId="0" borderId="14" xfId="0" applyNumberFormat="1" applyFont="1" applyFill="1" applyBorder="1" applyAlignment="1">
      <alignment vertical="top" wrapText="1"/>
    </xf>
    <xf numFmtId="0" fontId="14" fillId="0" borderId="0" xfId="0" applyFont="1" applyAlignment="1">
      <alignment vertical="top"/>
    </xf>
    <xf numFmtId="49" fontId="33" fillId="0" borderId="21" xfId="0" applyNumberFormat="1" applyFont="1" applyBorder="1" applyAlignment="1">
      <alignment vertical="top" wrapText="1"/>
    </xf>
    <xf numFmtId="4" fontId="33" fillId="0" borderId="21" xfId="0" applyNumberFormat="1" applyFont="1" applyBorder="1" applyAlignment="1">
      <alignment vertical="top"/>
    </xf>
    <xf numFmtId="0" fontId="47" fillId="0" borderId="0" xfId="0" applyFont="1" applyAlignment="1">
      <alignment vertical="top"/>
    </xf>
    <xf numFmtId="49" fontId="36" fillId="0" borderId="11" xfId="0" applyNumberFormat="1" applyFont="1" applyBorder="1" applyAlignment="1">
      <alignment horizontal="center" vertical="top"/>
    </xf>
    <xf numFmtId="0" fontId="47" fillId="0" borderId="0" xfId="0" applyFont="1" applyAlignment="1">
      <alignment vertical="top"/>
    </xf>
    <xf numFmtId="0" fontId="10" fillId="0" borderId="0" xfId="0" applyFont="1" applyBorder="1" applyAlignment="1">
      <alignment vertical="top"/>
    </xf>
    <xf numFmtId="49" fontId="11" fillId="0" borderId="10" xfId="0" applyNumberFormat="1" applyFont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center" vertical="top" wrapText="1"/>
    </xf>
    <xf numFmtId="49" fontId="10" fillId="0" borderId="13" xfId="0" applyNumberFormat="1" applyFont="1" applyBorder="1" applyAlignment="1">
      <alignment horizontal="center" vertical="top"/>
    </xf>
    <xf numFmtId="49" fontId="10" fillId="0" borderId="14" xfId="0" applyNumberFormat="1" applyFont="1" applyBorder="1" applyAlignment="1">
      <alignment vertical="top"/>
    </xf>
    <xf numFmtId="166" fontId="41" fillId="0" borderId="12" xfId="0" applyNumberFormat="1" applyFont="1" applyFill="1" applyBorder="1" applyAlignment="1">
      <alignment horizontal="right" vertical="top"/>
    </xf>
    <xf numFmtId="49" fontId="33" fillId="0" borderId="11" xfId="0" applyNumberFormat="1" applyFont="1" applyBorder="1" applyAlignment="1">
      <alignment horizontal="center" vertical="top"/>
    </xf>
    <xf numFmtId="49" fontId="33" fillId="0" borderId="10" xfId="0" applyNumberFormat="1" applyFont="1" applyBorder="1" applyAlignment="1">
      <alignment horizontal="center" vertical="top"/>
    </xf>
    <xf numFmtId="0" fontId="33" fillId="0" borderId="0" xfId="0" applyFont="1" applyAlignment="1">
      <alignment vertical="top"/>
    </xf>
    <xf numFmtId="49" fontId="13" fillId="0" borderId="24" xfId="0" applyNumberFormat="1" applyFont="1" applyBorder="1" applyAlignment="1">
      <alignment horizontal="center" vertical="top"/>
    </xf>
    <xf numFmtId="49" fontId="13" fillId="0" borderId="19" xfId="0" applyNumberFormat="1" applyFont="1" applyBorder="1" applyAlignment="1">
      <alignment horizontal="center" vertical="top"/>
    </xf>
    <xf numFmtId="49" fontId="13" fillId="0" borderId="19" xfId="0" applyNumberFormat="1" applyFont="1" applyBorder="1" applyAlignment="1">
      <alignment vertical="top"/>
    </xf>
    <xf numFmtId="4" fontId="13" fillId="0" borderId="19" xfId="0" applyNumberFormat="1" applyFont="1" applyBorder="1" applyAlignment="1">
      <alignment vertical="top"/>
    </xf>
    <xf numFmtId="166" fontId="11" fillId="36" borderId="34" xfId="0" applyNumberFormat="1" applyFont="1" applyFill="1" applyBorder="1" applyAlignment="1">
      <alignment horizontal="right" vertical="center"/>
    </xf>
    <xf numFmtId="0" fontId="11" fillId="36" borderId="0" xfId="0" applyFont="1" applyFill="1" applyAlignment="1">
      <alignment horizontal="center" vertical="center"/>
    </xf>
    <xf numFmtId="0" fontId="11" fillId="36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top"/>
    </xf>
    <xf numFmtId="49" fontId="10" fillId="0" borderId="21" xfId="0" applyNumberFormat="1" applyFont="1" applyFill="1" applyBorder="1" applyAlignment="1">
      <alignment horizontal="left" vertical="top" wrapText="1"/>
    </xf>
    <xf numFmtId="0" fontId="10" fillId="0" borderId="0" xfId="0" applyFont="1" applyFill="1" applyAlignment="1">
      <alignment vertical="top"/>
    </xf>
    <xf numFmtId="0" fontId="11" fillId="0" borderId="0" xfId="0" applyFont="1" applyFill="1" applyAlignment="1">
      <alignment vertical="top"/>
    </xf>
    <xf numFmtId="49" fontId="11" fillId="0" borderId="14" xfId="0" applyNumberFormat="1" applyFont="1" applyFill="1" applyBorder="1" applyAlignment="1">
      <alignment horizontal="center" vertical="top"/>
    </xf>
    <xf numFmtId="49" fontId="10" fillId="0" borderId="14" xfId="0" applyNumberFormat="1" applyFont="1" applyFill="1" applyBorder="1" applyAlignment="1">
      <alignment vertical="top"/>
    </xf>
    <xf numFmtId="0" fontId="10" fillId="0" borderId="10" xfId="0" applyFont="1" applyFill="1" applyBorder="1" applyAlignment="1">
      <alignment horizontal="center" vertical="top"/>
    </xf>
    <xf numFmtId="0" fontId="33" fillId="0" borderId="0" xfId="0" applyFont="1" applyFill="1" applyAlignment="1">
      <alignment vertical="top"/>
    </xf>
    <xf numFmtId="0" fontId="36" fillId="0" borderId="0" xfId="0" applyFont="1" applyFill="1" applyAlignment="1">
      <alignment vertical="top"/>
    </xf>
    <xf numFmtId="0" fontId="13" fillId="0" borderId="10" xfId="0" applyFont="1" applyFill="1" applyBorder="1" applyAlignment="1">
      <alignment horizontal="center" vertical="top" wrapText="1"/>
    </xf>
    <xf numFmtId="0" fontId="13" fillId="0" borderId="21" xfId="0" applyFont="1" applyFill="1" applyBorder="1" applyAlignment="1">
      <alignment horizontal="center" vertical="top" wrapText="1"/>
    </xf>
    <xf numFmtId="0" fontId="10" fillId="0" borderId="21" xfId="0" applyFont="1" applyFill="1" applyBorder="1" applyAlignment="1">
      <alignment horizontal="center" vertical="top" wrapText="1"/>
    </xf>
    <xf numFmtId="4" fontId="10" fillId="0" borderId="21" xfId="0" applyNumberFormat="1" applyFont="1" applyFill="1" applyBorder="1" applyAlignment="1">
      <alignment vertical="top"/>
    </xf>
    <xf numFmtId="49" fontId="11" fillId="0" borderId="11" xfId="0" applyNumberFormat="1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top"/>
    </xf>
    <xf numFmtId="0" fontId="11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49" fontId="10" fillId="0" borderId="21" xfId="0" applyNumberFormat="1" applyFont="1" applyFill="1" applyBorder="1" applyAlignment="1">
      <alignment vertical="top" wrapText="1"/>
    </xf>
    <xf numFmtId="49" fontId="33" fillId="0" borderId="10" xfId="0" applyNumberFormat="1" applyFont="1" applyFill="1" applyBorder="1" applyAlignment="1">
      <alignment horizontal="center" vertical="top" wrapText="1"/>
    </xf>
    <xf numFmtId="4" fontId="33" fillId="0" borderId="21" xfId="0" applyNumberFormat="1" applyFont="1" applyFill="1" applyBorder="1" applyAlignment="1">
      <alignment vertical="top"/>
    </xf>
    <xf numFmtId="49" fontId="13" fillId="0" borderId="14" xfId="0" applyNumberFormat="1" applyFont="1" applyFill="1" applyBorder="1" applyAlignment="1">
      <alignment vertical="top" wrapText="1"/>
    </xf>
    <xf numFmtId="49" fontId="13" fillId="0" borderId="13" xfId="0" applyNumberFormat="1" applyFont="1" applyFill="1" applyBorder="1" applyAlignment="1">
      <alignment horizontal="center" vertical="top"/>
    </xf>
    <xf numFmtId="49" fontId="13" fillId="0" borderId="14" xfId="0" applyNumberFormat="1" applyFont="1" applyFill="1" applyBorder="1" applyAlignment="1">
      <alignment horizontal="center" vertical="top" wrapText="1"/>
    </xf>
    <xf numFmtId="49" fontId="10" fillId="0" borderId="13" xfId="0" applyNumberFormat="1" applyFont="1" applyFill="1" applyBorder="1" applyAlignment="1">
      <alignment horizontal="center" vertical="top"/>
    </xf>
    <xf numFmtId="49" fontId="10" fillId="0" borderId="14" xfId="0" applyNumberFormat="1" applyFont="1" applyFill="1" applyBorder="1" applyAlignment="1">
      <alignment horizontal="center" vertical="top" wrapText="1"/>
    </xf>
    <xf numFmtId="49" fontId="13" fillId="0" borderId="56" xfId="0" applyNumberFormat="1" applyFont="1" applyFill="1" applyBorder="1" applyAlignment="1">
      <alignment horizontal="center" vertical="top"/>
    </xf>
    <xf numFmtId="49" fontId="13" fillId="0" borderId="30" xfId="0" applyNumberFormat="1" applyFont="1" applyFill="1" applyBorder="1" applyAlignment="1">
      <alignment horizontal="center" vertical="top"/>
    </xf>
    <xf numFmtId="49" fontId="13" fillId="0" borderId="30" xfId="0" applyNumberFormat="1" applyFont="1" applyFill="1" applyBorder="1" applyAlignment="1">
      <alignment horizontal="center" vertical="top" wrapText="1"/>
    </xf>
    <xf numFmtId="49" fontId="13" fillId="0" borderId="29" xfId="0" applyNumberFormat="1" applyFont="1" applyFill="1" applyBorder="1" applyAlignment="1">
      <alignment vertical="top" wrapText="1"/>
    </xf>
    <xf numFmtId="4" fontId="13" fillId="0" borderId="30" xfId="0" applyNumberFormat="1" applyFont="1" applyFill="1" applyBorder="1" applyAlignment="1">
      <alignment vertical="top"/>
    </xf>
    <xf numFmtId="4" fontId="11" fillId="37" borderId="57" xfId="0" applyNumberFormat="1" applyFont="1" applyFill="1" applyBorder="1" applyAlignment="1">
      <alignment horizontal="center" vertical="center"/>
    </xf>
    <xf numFmtId="166" fontId="11" fillId="37" borderId="58" xfId="0" applyNumberFormat="1" applyFont="1" applyFill="1" applyBorder="1" applyAlignment="1">
      <alignment horizontal="right" vertical="center"/>
    </xf>
    <xf numFmtId="0" fontId="11" fillId="37" borderId="0" xfId="0" applyFont="1" applyFill="1" applyAlignment="1">
      <alignment horizontal="center" vertical="center"/>
    </xf>
    <xf numFmtId="49" fontId="11" fillId="0" borderId="0" xfId="0" applyNumberFormat="1" applyFont="1" applyBorder="1" applyAlignment="1">
      <alignment horizontal="center" vertical="top"/>
    </xf>
    <xf numFmtId="49" fontId="11" fillId="0" borderId="0" xfId="0" applyNumberFormat="1" applyFont="1" applyBorder="1" applyAlignment="1">
      <alignment vertical="top"/>
    </xf>
    <xf numFmtId="166" fontId="11" fillId="0" borderId="0" xfId="0" applyNumberFormat="1" applyFont="1" applyAlignment="1">
      <alignment horizontal="right" vertical="top"/>
    </xf>
    <xf numFmtId="4" fontId="11" fillId="0" borderId="0" xfId="0" applyNumberFormat="1" applyFont="1" applyBorder="1" applyAlignment="1">
      <alignment horizontal="right" vertical="top"/>
    </xf>
    <xf numFmtId="4" fontId="11" fillId="0" borderId="14" xfId="0" applyNumberFormat="1" applyFont="1" applyBorder="1" applyAlignment="1">
      <alignment vertical="top"/>
    </xf>
    <xf numFmtId="166" fontId="11" fillId="36" borderId="16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horizontal="center" vertical="top"/>
    </xf>
    <xf numFmtId="49" fontId="10" fillId="0" borderId="0" xfId="0" applyNumberFormat="1" applyFont="1" applyBorder="1" applyAlignment="1">
      <alignment vertical="top"/>
    </xf>
    <xf numFmtId="166" fontId="10" fillId="0" borderId="0" xfId="0" applyNumberFormat="1" applyFont="1" applyAlignment="1">
      <alignment horizontal="right" vertical="top"/>
    </xf>
    <xf numFmtId="4" fontId="10" fillId="0" borderId="0" xfId="0" applyNumberFormat="1" applyFont="1" applyBorder="1" applyAlignment="1">
      <alignment horizontal="right" vertical="top"/>
    </xf>
    <xf numFmtId="49" fontId="10" fillId="0" borderId="0" xfId="0" applyNumberFormat="1" applyFont="1" applyBorder="1" applyAlignment="1">
      <alignment vertical="center"/>
    </xf>
    <xf numFmtId="4" fontId="10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49" fontId="10" fillId="0" borderId="0" xfId="0" applyNumberFormat="1" applyFont="1" applyAlignment="1">
      <alignment horizontal="right" vertical="center"/>
    </xf>
    <xf numFmtId="4" fontId="10" fillId="0" borderId="0" xfId="0" applyNumberFormat="1" applyFont="1" applyAlignment="1">
      <alignment/>
    </xf>
    <xf numFmtId="4" fontId="10" fillId="0" borderId="23" xfId="0" applyNumberFormat="1" applyFont="1" applyBorder="1" applyAlignment="1">
      <alignment vertical="center"/>
    </xf>
    <xf numFmtId="4" fontId="10" fillId="39" borderId="59" xfId="0" applyNumberFormat="1" applyFont="1" applyFill="1" applyBorder="1" applyAlignment="1">
      <alignment vertical="center"/>
    </xf>
    <xf numFmtId="39" fontId="10" fillId="0" borderId="0" xfId="0" applyNumberFormat="1" applyFont="1" applyAlignment="1">
      <alignment vertical="center"/>
    </xf>
    <xf numFmtId="39" fontId="10" fillId="0" borderId="23" xfId="0" applyNumberFormat="1" applyFont="1" applyBorder="1" applyAlignment="1">
      <alignment vertical="center"/>
    </xf>
    <xf numFmtId="0" fontId="11" fillId="35" borderId="14" xfId="0" applyFont="1" applyFill="1" applyBorder="1" applyAlignment="1">
      <alignment horizontal="center" vertical="center"/>
    </xf>
    <xf numFmtId="0" fontId="11" fillId="35" borderId="15" xfId="0" applyFont="1" applyFill="1" applyBorder="1" applyAlignment="1">
      <alignment horizontal="center" vertical="center"/>
    </xf>
    <xf numFmtId="0" fontId="11" fillId="36" borderId="31" xfId="0" applyFont="1" applyFill="1" applyBorder="1" applyAlignment="1">
      <alignment horizontal="center" vertical="center"/>
    </xf>
    <xf numFmtId="0" fontId="11" fillId="36" borderId="32" xfId="0" applyFont="1" applyFill="1" applyBorder="1" applyAlignment="1">
      <alignment vertical="center"/>
    </xf>
    <xf numFmtId="4" fontId="11" fillId="36" borderId="32" xfId="0" applyNumberFormat="1" applyFont="1" applyFill="1" applyBorder="1" applyAlignment="1">
      <alignment vertical="center"/>
    </xf>
    <xf numFmtId="167" fontId="11" fillId="36" borderId="33" xfId="0" applyNumberFormat="1" applyFont="1" applyFill="1" applyBorder="1" applyAlignment="1">
      <alignment horizontal="right" vertical="center"/>
    </xf>
    <xf numFmtId="169" fontId="11" fillId="36" borderId="34" xfId="0" applyNumberFormat="1" applyFont="1" applyFill="1" applyBorder="1" applyAlignment="1">
      <alignment vertical="center"/>
    </xf>
    <xf numFmtId="0" fontId="10" fillId="0" borderId="11" xfId="0" applyFont="1" applyBorder="1" applyAlignment="1">
      <alignment horizontal="center" vertical="center"/>
    </xf>
    <xf numFmtId="167" fontId="10" fillId="0" borderId="0" xfId="0" applyNumberFormat="1" applyFont="1" applyBorder="1" applyAlignment="1">
      <alignment horizontal="right" vertical="center"/>
    </xf>
    <xf numFmtId="169" fontId="10" fillId="0" borderId="41" xfId="0" applyNumberFormat="1" applyFont="1" applyBorder="1" applyAlignment="1">
      <alignment vertical="center"/>
    </xf>
    <xf numFmtId="49" fontId="10" fillId="0" borderId="0" xfId="0" applyNumberFormat="1" applyFont="1" applyBorder="1" applyAlignment="1">
      <alignment vertical="center" wrapText="1"/>
    </xf>
    <xf numFmtId="167" fontId="10" fillId="0" borderId="10" xfId="0" applyNumberFormat="1" applyFont="1" applyBorder="1" applyAlignment="1">
      <alignment horizontal="right" vertical="center"/>
    </xf>
    <xf numFmtId="4" fontId="10" fillId="0" borderId="14" xfId="0" applyNumberFormat="1" applyFont="1" applyBorder="1" applyAlignment="1">
      <alignment vertical="center"/>
    </xf>
    <xf numFmtId="0" fontId="15" fillId="0" borderId="11" xfId="0" applyFont="1" applyBorder="1" applyAlignment="1">
      <alignment horizontal="center" vertical="center"/>
    </xf>
    <xf numFmtId="0" fontId="15" fillId="0" borderId="10" xfId="0" applyFont="1" applyBorder="1" applyAlignment="1">
      <alignment vertical="center"/>
    </xf>
    <xf numFmtId="167" fontId="15" fillId="0" borderId="0" xfId="0" applyNumberFormat="1" applyFont="1" applyBorder="1" applyAlignment="1">
      <alignment horizontal="right" vertical="center"/>
    </xf>
    <xf numFmtId="169" fontId="15" fillId="0" borderId="41" xfId="0" applyNumberFormat="1" applyFont="1" applyBorder="1" applyAlignment="1">
      <alignment vertical="center"/>
    </xf>
    <xf numFmtId="49" fontId="15" fillId="0" borderId="0" xfId="0" applyNumberFormat="1" applyFont="1" applyBorder="1" applyAlignment="1">
      <alignment vertical="center" wrapText="1"/>
    </xf>
    <xf numFmtId="167" fontId="15" fillId="0" borderId="10" xfId="0" applyNumberFormat="1" applyFont="1" applyBorder="1" applyAlignment="1">
      <alignment horizontal="right" vertical="center"/>
    </xf>
    <xf numFmtId="49" fontId="10" fillId="0" borderId="0" xfId="0" applyNumberFormat="1" applyFont="1" applyFill="1" applyAlignment="1">
      <alignment horizontal="center"/>
    </xf>
    <xf numFmtId="49" fontId="10" fillId="0" borderId="0" xfId="0" applyNumberFormat="1" applyFont="1" applyFill="1" applyAlignment="1">
      <alignment/>
    </xf>
    <xf numFmtId="4" fontId="10" fillId="0" borderId="0" xfId="0" applyNumberFormat="1" applyFont="1" applyFill="1" applyAlignment="1">
      <alignment/>
    </xf>
    <xf numFmtId="4" fontId="10" fillId="0" borderId="0" xfId="0" applyNumberFormat="1" applyFont="1" applyBorder="1" applyAlignment="1">
      <alignment/>
    </xf>
    <xf numFmtId="166" fontId="10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49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35" borderId="27" xfId="0" applyFont="1" applyFill="1" applyBorder="1" applyAlignment="1">
      <alignment horizontal="center" vertical="center"/>
    </xf>
    <xf numFmtId="0" fontId="11" fillId="35" borderId="44" xfId="0" applyFont="1" applyFill="1" applyBorder="1" applyAlignment="1">
      <alignment horizontal="center" vertical="center"/>
    </xf>
    <xf numFmtId="49" fontId="12" fillId="35" borderId="28" xfId="0" applyNumberFormat="1" applyFont="1" applyFill="1" applyBorder="1" applyAlignment="1">
      <alignment horizontal="center"/>
    </xf>
    <xf numFmtId="0" fontId="12" fillId="35" borderId="29" xfId="0" applyFont="1" applyFill="1" applyBorder="1" applyAlignment="1">
      <alignment horizontal="center"/>
    </xf>
    <xf numFmtId="49" fontId="10" fillId="0" borderId="13" xfId="0" applyNumberFormat="1" applyFont="1" applyFill="1" applyBorder="1" applyAlignment="1">
      <alignment vertical="top"/>
    </xf>
    <xf numFmtId="0" fontId="10" fillId="0" borderId="14" xfId="0" applyFont="1" applyFill="1" applyBorder="1" applyAlignment="1">
      <alignment vertical="top"/>
    </xf>
    <xf numFmtId="0" fontId="10" fillId="0" borderId="14" xfId="0" applyFont="1" applyFill="1" applyBorder="1" applyAlignment="1">
      <alignment horizontal="right" vertical="top"/>
    </xf>
    <xf numFmtId="166" fontId="10" fillId="0" borderId="14" xfId="0" applyNumberFormat="1" applyFont="1" applyFill="1" applyBorder="1" applyAlignment="1">
      <alignment horizontal="right" vertical="top"/>
    </xf>
    <xf numFmtId="0" fontId="10" fillId="0" borderId="14" xfId="0" applyFont="1" applyFill="1" applyBorder="1" applyAlignment="1">
      <alignment vertical="top" wrapText="1"/>
    </xf>
    <xf numFmtId="3" fontId="10" fillId="0" borderId="14" xfId="0" applyNumberFormat="1" applyFont="1" applyFill="1" applyBorder="1" applyAlignment="1">
      <alignment vertical="top" wrapText="1"/>
    </xf>
    <xf numFmtId="49" fontId="10" fillId="0" borderId="28" xfId="0" applyNumberFormat="1" applyFont="1" applyFill="1" applyBorder="1" applyAlignment="1">
      <alignment horizontal="center" vertical="top"/>
    </xf>
    <xf numFmtId="0" fontId="10" fillId="0" borderId="29" xfId="0" applyFont="1" applyFill="1" applyBorder="1" applyAlignment="1">
      <alignment vertical="top"/>
    </xf>
    <xf numFmtId="4" fontId="10" fillId="0" borderId="29" xfId="0" applyNumberFormat="1" applyFont="1" applyFill="1" applyBorder="1" applyAlignment="1">
      <alignment vertical="top"/>
    </xf>
    <xf numFmtId="49" fontId="10" fillId="36" borderId="13" xfId="0" applyNumberFormat="1" applyFont="1" applyFill="1" applyBorder="1" applyAlignment="1">
      <alignment horizontal="left" vertical="top"/>
    </xf>
    <xf numFmtId="49" fontId="10" fillId="36" borderId="0" xfId="0" applyNumberFormat="1" applyFont="1" applyFill="1" applyBorder="1" applyAlignment="1">
      <alignment horizontal="left" vertical="top"/>
    </xf>
    <xf numFmtId="4" fontId="10" fillId="36" borderId="14" xfId="0" applyNumberFormat="1" applyFont="1" applyFill="1" applyBorder="1" applyAlignment="1">
      <alignment vertical="top"/>
    </xf>
    <xf numFmtId="166" fontId="10" fillId="36" borderId="14" xfId="0" applyNumberFormat="1" applyFont="1" applyFill="1" applyBorder="1" applyAlignment="1">
      <alignment horizontal="right" vertical="top"/>
    </xf>
    <xf numFmtId="0" fontId="11" fillId="36" borderId="28" xfId="0" applyFont="1" applyFill="1" applyBorder="1" applyAlignment="1">
      <alignment horizontal="right" vertical="top"/>
    </xf>
    <xf numFmtId="0" fontId="11" fillId="36" borderId="60" xfId="0" applyFont="1" applyFill="1" applyBorder="1" applyAlignment="1">
      <alignment horizontal="left" vertical="top"/>
    </xf>
    <xf numFmtId="4" fontId="11" fillId="36" borderId="29" xfId="0" applyNumberFormat="1" applyFont="1" applyFill="1" applyBorder="1" applyAlignment="1">
      <alignment vertical="top"/>
    </xf>
    <xf numFmtId="166" fontId="11" fillId="36" borderId="29" xfId="0" applyNumberFormat="1" applyFont="1" applyFill="1" applyBorder="1" applyAlignment="1">
      <alignment horizontal="right" vertical="top"/>
    </xf>
    <xf numFmtId="0" fontId="13" fillId="0" borderId="13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left" vertical="center"/>
    </xf>
    <xf numFmtId="4" fontId="13" fillId="0" borderId="14" xfId="0" applyNumberFormat="1" applyFont="1" applyFill="1" applyBorder="1" applyAlignment="1">
      <alignment vertical="center"/>
    </xf>
    <xf numFmtId="166" fontId="13" fillId="0" borderId="14" xfId="0" applyNumberFormat="1" applyFont="1" applyFill="1" applyBorder="1" applyAlignment="1">
      <alignment horizontal="right" vertical="center"/>
    </xf>
    <xf numFmtId="164" fontId="10" fillId="0" borderId="0" xfId="0" applyNumberFormat="1" applyFont="1" applyFill="1" applyAlignment="1">
      <alignment/>
    </xf>
    <xf numFmtId="0" fontId="11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11" fillId="35" borderId="16" xfId="0" applyFont="1" applyFill="1" applyBorder="1" applyAlignment="1">
      <alignment horizontal="center" vertical="center"/>
    </xf>
    <xf numFmtId="0" fontId="12" fillId="35" borderId="40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10" fillId="0" borderId="0" xfId="0" applyFont="1" applyAlignment="1" applyProtection="1">
      <alignment horizontal="right"/>
      <protection hidden="1"/>
    </xf>
    <xf numFmtId="0" fontId="10" fillId="0" borderId="0" xfId="0" applyFont="1" applyAlignment="1" applyProtection="1">
      <alignment/>
      <protection hidden="1"/>
    </xf>
    <xf numFmtId="0" fontId="16" fillId="0" borderId="0" xfId="0" applyFont="1" applyAlignment="1" applyProtection="1">
      <alignment/>
      <protection hidden="1"/>
    </xf>
    <xf numFmtId="49" fontId="13" fillId="0" borderId="11" xfId="0" applyNumberFormat="1" applyFont="1" applyFill="1" applyBorder="1" applyAlignment="1" applyProtection="1">
      <alignment wrapText="1"/>
      <protection hidden="1"/>
    </xf>
    <xf numFmtId="4" fontId="13" fillId="0" borderId="10" xfId="0" applyNumberFormat="1" applyFont="1" applyFill="1" applyBorder="1" applyAlignment="1" applyProtection="1">
      <alignment wrapText="1"/>
      <protection hidden="1"/>
    </xf>
    <xf numFmtId="4" fontId="13" fillId="0" borderId="14" xfId="0" applyNumberFormat="1" applyFont="1" applyFill="1" applyBorder="1" applyAlignment="1" applyProtection="1">
      <alignment/>
      <protection hidden="1"/>
    </xf>
    <xf numFmtId="166" fontId="13" fillId="0" borderId="41" xfId="0" applyNumberFormat="1" applyFont="1" applyFill="1" applyBorder="1" applyAlignment="1" applyProtection="1">
      <alignment/>
      <protection hidden="1"/>
    </xf>
    <xf numFmtId="0" fontId="16" fillId="0" borderId="0" xfId="0" applyFont="1" applyFill="1" applyAlignment="1" applyProtection="1">
      <alignment/>
      <protection hidden="1"/>
    </xf>
    <xf numFmtId="0" fontId="10" fillId="0" borderId="0" xfId="0" applyFont="1" applyFill="1" applyAlignment="1" applyProtection="1">
      <alignment/>
      <protection hidden="1"/>
    </xf>
    <xf numFmtId="49" fontId="13" fillId="0" borderId="11" xfId="0" applyNumberFormat="1" applyFont="1" applyBorder="1" applyAlignment="1" applyProtection="1">
      <alignment wrapText="1"/>
      <protection hidden="1"/>
    </xf>
    <xf numFmtId="4" fontId="13" fillId="0" borderId="10" xfId="0" applyNumberFormat="1" applyFont="1" applyBorder="1" applyAlignment="1" applyProtection="1">
      <alignment wrapText="1"/>
      <protection hidden="1"/>
    </xf>
    <xf numFmtId="4" fontId="13" fillId="0" borderId="14" xfId="0" applyNumberFormat="1" applyFont="1" applyBorder="1" applyAlignment="1" applyProtection="1">
      <alignment/>
      <protection hidden="1"/>
    </xf>
    <xf numFmtId="166" fontId="13" fillId="0" borderId="41" xfId="0" applyNumberFormat="1" applyFont="1" applyBorder="1" applyAlignment="1" applyProtection="1">
      <alignment/>
      <protection hidden="1"/>
    </xf>
    <xf numFmtId="0" fontId="13" fillId="0" borderId="0" xfId="0" applyFont="1" applyAlignment="1" applyProtection="1">
      <alignment/>
      <protection hidden="1"/>
    </xf>
    <xf numFmtId="49" fontId="13" fillId="0" borderId="13" xfId="0" applyNumberFormat="1" applyFont="1" applyBorder="1" applyAlignment="1" applyProtection="1">
      <alignment/>
      <protection hidden="1"/>
    </xf>
    <xf numFmtId="4" fontId="13" fillId="0" borderId="10" xfId="0" applyNumberFormat="1" applyFont="1" applyBorder="1" applyAlignment="1" applyProtection="1">
      <alignment/>
      <protection hidden="1"/>
    </xf>
    <xf numFmtId="49" fontId="10" fillId="0" borderId="0" xfId="0" applyNumberFormat="1" applyFont="1" applyAlignment="1" applyProtection="1">
      <alignment/>
      <protection hidden="1"/>
    </xf>
    <xf numFmtId="0" fontId="17" fillId="0" borderId="0" xfId="0" applyFont="1" applyAlignment="1" applyProtection="1">
      <alignment/>
      <protection hidden="1"/>
    </xf>
    <xf numFmtId="0" fontId="11" fillId="0" borderId="0" xfId="0" applyFont="1" applyAlignment="1" applyProtection="1">
      <alignment/>
      <protection hidden="1"/>
    </xf>
    <xf numFmtId="0" fontId="11" fillId="35" borderId="31" xfId="0" applyFont="1" applyFill="1" applyBorder="1" applyAlignment="1" applyProtection="1">
      <alignment horizontal="center" vertical="center"/>
      <protection hidden="1"/>
    </xf>
    <xf numFmtId="0" fontId="11" fillId="35" borderId="33" xfId="0" applyFont="1" applyFill="1" applyBorder="1" applyAlignment="1" applyProtection="1">
      <alignment horizontal="center" vertical="center"/>
      <protection hidden="1"/>
    </xf>
    <xf numFmtId="0" fontId="11" fillId="35" borderId="54" xfId="0" applyFont="1" applyFill="1" applyBorder="1" applyAlignment="1" applyProtection="1">
      <alignment horizontal="center" vertical="center"/>
      <protection hidden="1"/>
    </xf>
    <xf numFmtId="0" fontId="11" fillId="35" borderId="54" xfId="0" applyFont="1" applyFill="1" applyBorder="1" applyAlignment="1" applyProtection="1">
      <alignment horizontal="center" vertical="center" wrapText="1"/>
      <protection hidden="1"/>
    </xf>
    <xf numFmtId="0" fontId="11" fillId="35" borderId="34" xfId="0" applyFont="1" applyFill="1" applyBorder="1" applyAlignment="1" applyProtection="1">
      <alignment horizontal="center" vertical="center" wrapText="1"/>
      <protection hidden="1"/>
    </xf>
    <xf numFmtId="0" fontId="10" fillId="35" borderId="48" xfId="0" applyFont="1" applyFill="1" applyBorder="1" applyAlignment="1" applyProtection="1">
      <alignment horizontal="center"/>
      <protection hidden="1"/>
    </xf>
    <xf numFmtId="0" fontId="10" fillId="35" borderId="39" xfId="0" applyFont="1" applyFill="1" applyBorder="1" applyAlignment="1" applyProtection="1">
      <alignment horizontal="center"/>
      <protection hidden="1"/>
    </xf>
    <xf numFmtId="0" fontId="10" fillId="35" borderId="55" xfId="0" applyFont="1" applyFill="1" applyBorder="1" applyAlignment="1" applyProtection="1">
      <alignment horizontal="center"/>
      <protection hidden="1"/>
    </xf>
    <xf numFmtId="0" fontId="10" fillId="35" borderId="29" xfId="0" applyFont="1" applyFill="1" applyBorder="1" applyAlignment="1" applyProtection="1">
      <alignment horizontal="center"/>
      <protection hidden="1"/>
    </xf>
    <xf numFmtId="0" fontId="10" fillId="35" borderId="50" xfId="0" applyFont="1" applyFill="1" applyBorder="1" applyAlignment="1" applyProtection="1">
      <alignment horizontal="center" wrapText="1"/>
      <protection hidden="1"/>
    </xf>
    <xf numFmtId="0" fontId="16" fillId="0" borderId="0" xfId="0" applyFont="1" applyAlignment="1" applyProtection="1">
      <alignment horizontal="center"/>
      <protection hidden="1"/>
    </xf>
    <xf numFmtId="0" fontId="10" fillId="0" borderId="0" xfId="0" applyFont="1" applyAlignment="1" applyProtection="1">
      <alignment horizontal="center"/>
      <protection hidden="1"/>
    </xf>
    <xf numFmtId="49" fontId="10" fillId="0" borderId="11" xfId="0" applyNumberFormat="1" applyFont="1" applyBorder="1" applyAlignment="1" applyProtection="1">
      <alignment horizontal="center"/>
      <protection hidden="1"/>
    </xf>
    <xf numFmtId="4" fontId="10" fillId="0" borderId="0" xfId="0" applyNumberFormat="1" applyFont="1" applyBorder="1" applyAlignment="1" applyProtection="1">
      <alignment horizontal="center"/>
      <protection hidden="1"/>
    </xf>
    <xf numFmtId="4" fontId="10" fillId="0" borderId="14" xfId="0" applyNumberFormat="1" applyFont="1" applyBorder="1" applyAlignment="1" applyProtection="1">
      <alignment horizontal="center"/>
      <protection hidden="1"/>
    </xf>
    <xf numFmtId="0" fontId="10" fillId="0" borderId="41" xfId="0" applyFont="1" applyBorder="1" applyAlignment="1" applyProtection="1">
      <alignment horizontal="center"/>
      <protection hidden="1"/>
    </xf>
    <xf numFmtId="49" fontId="11" fillId="0" borderId="11" xfId="0" applyNumberFormat="1" applyFont="1" applyBorder="1" applyAlignment="1" applyProtection="1">
      <alignment/>
      <protection hidden="1"/>
    </xf>
    <xf numFmtId="4" fontId="11" fillId="0" borderId="10" xfId="0" applyNumberFormat="1" applyFont="1" applyBorder="1" applyAlignment="1" applyProtection="1">
      <alignment/>
      <protection hidden="1"/>
    </xf>
    <xf numFmtId="4" fontId="11" fillId="0" borderId="14" xfId="0" applyNumberFormat="1" applyFont="1" applyBorder="1" applyAlignment="1" applyProtection="1">
      <alignment/>
      <protection hidden="1"/>
    </xf>
    <xf numFmtId="166" fontId="11" fillId="0" borderId="41" xfId="0" applyNumberFormat="1" applyFont="1" applyBorder="1" applyAlignment="1" applyProtection="1">
      <alignment/>
      <protection hidden="1"/>
    </xf>
    <xf numFmtId="49" fontId="10" fillId="0" borderId="11" xfId="0" applyNumberFormat="1" applyFont="1" applyBorder="1" applyAlignment="1" applyProtection="1">
      <alignment/>
      <protection hidden="1"/>
    </xf>
    <xf numFmtId="4" fontId="10" fillId="0" borderId="10" xfId="0" applyNumberFormat="1" applyFont="1" applyBorder="1" applyAlignment="1" applyProtection="1">
      <alignment/>
      <protection hidden="1"/>
    </xf>
    <xf numFmtId="4" fontId="10" fillId="0" borderId="14" xfId="0" applyNumberFormat="1" applyFont="1" applyBorder="1" applyAlignment="1" applyProtection="1">
      <alignment/>
      <protection hidden="1"/>
    </xf>
    <xf numFmtId="166" fontId="10" fillId="0" borderId="41" xfId="0" applyNumberFormat="1" applyFont="1" applyBorder="1" applyAlignment="1" applyProtection="1">
      <alignment/>
      <protection hidden="1"/>
    </xf>
    <xf numFmtId="4" fontId="10" fillId="0" borderId="0" xfId="0" applyNumberFormat="1" applyFont="1" applyAlignment="1" applyProtection="1">
      <alignment/>
      <protection hidden="1"/>
    </xf>
    <xf numFmtId="49" fontId="13" fillId="0" borderId="11" xfId="0" applyNumberFormat="1" applyFont="1" applyBorder="1" applyAlignment="1" applyProtection="1">
      <alignment/>
      <protection hidden="1"/>
    </xf>
    <xf numFmtId="4" fontId="13" fillId="0" borderId="14" xfId="0" applyNumberFormat="1" applyFont="1" applyBorder="1" applyAlignment="1" applyProtection="1">
      <alignment horizontal="right"/>
      <protection hidden="1"/>
    </xf>
    <xf numFmtId="4" fontId="13" fillId="0" borderId="10" xfId="0" applyNumberFormat="1" applyFont="1" applyFill="1" applyBorder="1" applyAlignment="1" applyProtection="1">
      <alignment/>
      <protection hidden="1"/>
    </xf>
    <xf numFmtId="49" fontId="10" fillId="0" borderId="11" xfId="0" applyNumberFormat="1" applyFont="1" applyBorder="1" applyAlignment="1" applyProtection="1">
      <alignment wrapText="1"/>
      <protection hidden="1"/>
    </xf>
    <xf numFmtId="4" fontId="10" fillId="0" borderId="14" xfId="0" applyNumberFormat="1" applyFont="1" applyBorder="1" applyAlignment="1" applyProtection="1">
      <alignment/>
      <protection hidden="1"/>
    </xf>
    <xf numFmtId="166" fontId="10" fillId="0" borderId="41" xfId="0" applyNumberFormat="1" applyFont="1" applyBorder="1" applyAlignment="1" applyProtection="1">
      <alignment/>
      <protection hidden="1"/>
    </xf>
    <xf numFmtId="4" fontId="10" fillId="0" borderId="10" xfId="0" applyNumberFormat="1" applyFont="1" applyBorder="1" applyAlignment="1" applyProtection="1">
      <alignment wrapText="1"/>
      <protection hidden="1"/>
    </xf>
    <xf numFmtId="49" fontId="13" fillId="0" borderId="11" xfId="0" applyNumberFormat="1" applyFont="1" applyFill="1" applyBorder="1" applyAlignment="1" applyProtection="1">
      <alignment/>
      <protection hidden="1"/>
    </xf>
    <xf numFmtId="0" fontId="13" fillId="0" borderId="0" xfId="0" applyFont="1" applyFill="1" applyAlignment="1" applyProtection="1">
      <alignment/>
      <protection hidden="1"/>
    </xf>
    <xf numFmtId="49" fontId="24" fillId="0" borderId="13" xfId="0" applyNumberFormat="1" applyFont="1" applyBorder="1" applyAlignment="1" applyProtection="1">
      <alignment/>
      <protection hidden="1"/>
    </xf>
    <xf numFmtId="4" fontId="24" fillId="0" borderId="10" xfId="0" applyNumberFormat="1" applyFont="1" applyFill="1" applyBorder="1" applyAlignment="1" applyProtection="1">
      <alignment/>
      <protection hidden="1"/>
    </xf>
    <xf numFmtId="0" fontId="18" fillId="0" borderId="0" xfId="0" applyFont="1" applyAlignment="1" applyProtection="1">
      <alignment/>
      <protection hidden="1"/>
    </xf>
    <xf numFmtId="49" fontId="11" fillId="0" borderId="13" xfId="0" applyNumberFormat="1" applyFont="1" applyBorder="1" applyAlignment="1" applyProtection="1">
      <alignment/>
      <protection hidden="1"/>
    </xf>
    <xf numFmtId="49" fontId="10" fillId="0" borderId="13" xfId="0" applyNumberFormat="1" applyFont="1" applyBorder="1" applyAlignment="1" applyProtection="1">
      <alignment/>
      <protection hidden="1"/>
    </xf>
    <xf numFmtId="49" fontId="13" fillId="0" borderId="13" xfId="0" applyNumberFormat="1" applyFont="1" applyBorder="1" applyAlignment="1" applyProtection="1">
      <alignment/>
      <protection hidden="1"/>
    </xf>
    <xf numFmtId="4" fontId="13" fillId="0" borderId="10" xfId="0" applyNumberFormat="1" applyFont="1" applyBorder="1" applyAlignment="1" applyProtection="1">
      <alignment/>
      <protection hidden="1"/>
    </xf>
    <xf numFmtId="0" fontId="16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49" fontId="10" fillId="0" borderId="13" xfId="0" applyNumberFormat="1" applyFont="1" applyBorder="1" applyAlignment="1" applyProtection="1">
      <alignment/>
      <protection hidden="1"/>
    </xf>
    <xf numFmtId="4" fontId="10" fillId="0" borderId="10" xfId="0" applyNumberFormat="1" applyFont="1" applyBorder="1" applyAlignment="1" applyProtection="1">
      <alignment/>
      <protection hidden="1"/>
    </xf>
    <xf numFmtId="4" fontId="10" fillId="0" borderId="10" xfId="0" applyNumberFormat="1" applyFont="1" applyBorder="1" applyAlignment="1" applyProtection="1" quotePrefix="1">
      <alignment/>
      <protection hidden="1"/>
    </xf>
    <xf numFmtId="49" fontId="11" fillId="0" borderId="13" xfId="0" applyNumberFormat="1" applyFont="1" applyBorder="1" applyAlignment="1" applyProtection="1">
      <alignment wrapText="1"/>
      <protection hidden="1"/>
    </xf>
    <xf numFmtId="4" fontId="11" fillId="0" borderId="10" xfId="0" applyNumberFormat="1" applyFont="1" applyBorder="1" applyAlignment="1" applyProtection="1">
      <alignment/>
      <protection hidden="1"/>
    </xf>
    <xf numFmtId="49" fontId="10" fillId="0" borderId="13" xfId="0" applyNumberFormat="1" applyFont="1" applyBorder="1" applyAlignment="1" applyProtection="1">
      <alignment wrapText="1"/>
      <protection hidden="1"/>
    </xf>
    <xf numFmtId="0" fontId="17" fillId="0" borderId="0" xfId="0" applyFont="1" applyAlignment="1" applyProtection="1">
      <alignment/>
      <protection hidden="1"/>
    </xf>
    <xf numFmtId="0" fontId="11" fillId="0" borderId="0" xfId="0" applyFont="1" applyAlignment="1" applyProtection="1">
      <alignment/>
      <protection hidden="1"/>
    </xf>
    <xf numFmtId="4" fontId="16" fillId="0" borderId="14" xfId="0" applyNumberFormat="1" applyFont="1" applyBorder="1" applyAlignment="1" applyProtection="1">
      <alignment/>
      <protection hidden="1"/>
    </xf>
    <xf numFmtId="4" fontId="11" fillId="0" borderId="29" xfId="0" applyNumberFormat="1" applyFont="1" applyBorder="1" applyAlignment="1" applyProtection="1">
      <alignment/>
      <protection hidden="1"/>
    </xf>
    <xf numFmtId="49" fontId="11" fillId="36" borderId="61" xfId="0" applyNumberFormat="1" applyFont="1" applyFill="1" applyBorder="1" applyAlignment="1" applyProtection="1">
      <alignment vertical="center"/>
      <protection hidden="1"/>
    </xf>
    <xf numFmtId="4" fontId="11" fillId="36" borderId="62" xfId="0" applyNumberFormat="1" applyFont="1" applyFill="1" applyBorder="1" applyAlignment="1" applyProtection="1">
      <alignment vertical="center"/>
      <protection hidden="1"/>
    </xf>
    <xf numFmtId="4" fontId="11" fillId="36" borderId="29" xfId="0" applyNumberFormat="1" applyFont="1" applyFill="1" applyBorder="1" applyAlignment="1" applyProtection="1">
      <alignment vertical="center"/>
      <protection hidden="1"/>
    </xf>
    <xf numFmtId="166" fontId="11" fillId="36" borderId="58" xfId="0" applyNumberFormat="1" applyFont="1" applyFill="1" applyBorder="1" applyAlignment="1" applyProtection="1">
      <alignment vertical="center"/>
      <protection hidden="1"/>
    </xf>
    <xf numFmtId="0" fontId="17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horizontal="right"/>
      <protection hidden="1"/>
    </xf>
    <xf numFmtId="4" fontId="11" fillId="0" borderId="0" xfId="0" applyNumberFormat="1" applyFont="1" applyAlignment="1" applyProtection="1">
      <alignment/>
      <protection hidden="1"/>
    </xf>
    <xf numFmtId="0" fontId="10" fillId="0" borderId="0" xfId="0" applyFont="1" applyBorder="1" applyAlignment="1" applyProtection="1">
      <alignment/>
      <protection hidden="1"/>
    </xf>
    <xf numFmtId="3" fontId="11" fillId="0" borderId="0" xfId="0" applyNumberFormat="1" applyFont="1" applyBorder="1" applyAlignment="1" applyProtection="1">
      <alignment/>
      <protection hidden="1"/>
    </xf>
    <xf numFmtId="0" fontId="25" fillId="0" borderId="0" xfId="0" applyFont="1" applyAlignment="1">
      <alignment/>
    </xf>
    <xf numFmtId="49" fontId="18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Border="1" applyAlignment="1">
      <alignment horizontal="center" vertical="center"/>
    </xf>
    <xf numFmtId="49" fontId="26" fillId="0" borderId="0" xfId="0" applyNumberFormat="1" applyFont="1" applyBorder="1" applyAlignment="1">
      <alignment horizontal="center" vertical="center"/>
    </xf>
    <xf numFmtId="49" fontId="26" fillId="35" borderId="63" xfId="0" applyNumberFormat="1" applyFont="1" applyFill="1" applyBorder="1" applyAlignment="1">
      <alignment horizontal="center" vertical="center"/>
    </xf>
    <xf numFmtId="49" fontId="26" fillId="35" borderId="64" xfId="0" applyNumberFormat="1" applyFont="1" applyFill="1" applyBorder="1" applyAlignment="1">
      <alignment horizontal="center" vertical="center"/>
    </xf>
    <xf numFmtId="0" fontId="26" fillId="35" borderId="32" xfId="0" applyFont="1" applyFill="1" applyBorder="1" applyAlignment="1">
      <alignment horizontal="center" vertical="center"/>
    </xf>
    <xf numFmtId="0" fontId="26" fillId="35" borderId="65" xfId="0" applyFont="1" applyFill="1" applyBorder="1" applyAlignment="1">
      <alignment horizontal="center" vertical="center"/>
    </xf>
    <xf numFmtId="49" fontId="10" fillId="0" borderId="13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vertical="center" wrapText="1"/>
    </xf>
    <xf numFmtId="4" fontId="10" fillId="0" borderId="10" xfId="0" applyNumberFormat="1" applyFont="1" applyFill="1" applyBorder="1" applyAlignment="1">
      <alignment vertical="center"/>
    </xf>
    <xf numFmtId="166" fontId="10" fillId="0" borderId="12" xfId="0" applyNumberFormat="1" applyFont="1" applyFill="1" applyBorder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49" fontId="15" fillId="0" borderId="11" xfId="0" applyNumberFormat="1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vertical="center" wrapText="1"/>
    </xf>
    <xf numFmtId="4" fontId="15" fillId="0" borderId="10" xfId="0" applyNumberFormat="1" applyFont="1" applyFill="1" applyBorder="1" applyAlignment="1">
      <alignment vertical="center"/>
    </xf>
    <xf numFmtId="166" fontId="15" fillId="0" borderId="12" xfId="0" applyNumberFormat="1" applyFont="1" applyFill="1" applyBorder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vertical="center"/>
    </xf>
    <xf numFmtId="49" fontId="10" fillId="0" borderId="10" xfId="0" applyNumberFormat="1" applyFont="1" applyFill="1" applyBorder="1" applyAlignment="1">
      <alignment vertical="center"/>
    </xf>
    <xf numFmtId="49" fontId="13" fillId="0" borderId="11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vertical="center" wrapText="1"/>
    </xf>
    <xf numFmtId="4" fontId="13" fillId="0" borderId="10" xfId="0" applyNumberFormat="1" applyFont="1" applyFill="1" applyBorder="1" applyAlignment="1">
      <alignment vertical="center"/>
    </xf>
    <xf numFmtId="166" fontId="13" fillId="0" borderId="12" xfId="0" applyNumberFormat="1" applyFont="1" applyFill="1" applyBorder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vertical="center"/>
    </xf>
    <xf numFmtId="49" fontId="14" fillId="0" borderId="11" xfId="0" applyNumberFormat="1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center" vertical="center"/>
    </xf>
    <xf numFmtId="49" fontId="17" fillId="0" borderId="10" xfId="0" applyNumberFormat="1" applyFont="1" applyFill="1" applyBorder="1" applyAlignment="1">
      <alignment vertical="center" wrapText="1"/>
    </xf>
    <xf numFmtId="4" fontId="17" fillId="0" borderId="10" xfId="0" applyNumberFormat="1" applyFont="1" applyFill="1" applyBorder="1" applyAlignment="1">
      <alignment vertical="center"/>
    </xf>
    <xf numFmtId="166" fontId="17" fillId="0" borderId="12" xfId="0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49" fontId="44" fillId="0" borderId="11" xfId="0" applyNumberFormat="1" applyFont="1" applyBorder="1" applyAlignment="1">
      <alignment horizontal="center" vertical="center"/>
    </xf>
    <xf numFmtId="49" fontId="44" fillId="0" borderId="10" xfId="0" applyNumberFormat="1" applyFont="1" applyBorder="1" applyAlignment="1">
      <alignment horizontal="center" vertical="center"/>
    </xf>
    <xf numFmtId="49" fontId="48" fillId="0" borderId="10" xfId="0" applyNumberFormat="1" applyFont="1" applyBorder="1" applyAlignment="1">
      <alignment vertical="center" wrapText="1"/>
    </xf>
    <xf numFmtId="4" fontId="48" fillId="0" borderId="10" xfId="0" applyNumberFormat="1" applyFont="1" applyBorder="1" applyAlignment="1">
      <alignment vertical="center"/>
    </xf>
    <xf numFmtId="166" fontId="48" fillId="0" borderId="12" xfId="0" applyNumberFormat="1" applyFont="1" applyBorder="1" applyAlignment="1">
      <alignment vertical="center"/>
    </xf>
    <xf numFmtId="0" fontId="44" fillId="0" borderId="0" xfId="0" applyFont="1" applyAlignment="1">
      <alignment horizontal="center" vertical="center"/>
    </xf>
    <xf numFmtId="49" fontId="36" fillId="0" borderId="13" xfId="0" applyNumberFormat="1" applyFont="1" applyFill="1" applyBorder="1" applyAlignment="1">
      <alignment horizontal="center" vertical="center"/>
    </xf>
    <xf numFmtId="0" fontId="49" fillId="0" borderId="0" xfId="0" applyFont="1" applyFill="1" applyAlignment="1">
      <alignment vertical="center"/>
    </xf>
    <xf numFmtId="166" fontId="35" fillId="0" borderId="12" xfId="0" applyNumberFormat="1" applyFont="1" applyFill="1" applyBorder="1" applyAlignment="1">
      <alignment horizontal="right" vertical="center"/>
    </xf>
    <xf numFmtId="49" fontId="33" fillId="0" borderId="10" xfId="0" applyNumberFormat="1" applyFont="1" applyFill="1" applyBorder="1" applyAlignment="1">
      <alignment horizontal="left" vertical="center" wrapText="1"/>
    </xf>
    <xf numFmtId="166" fontId="33" fillId="0" borderId="12" xfId="0" applyNumberFormat="1" applyFont="1" applyBorder="1" applyAlignment="1">
      <alignment horizontal="right" vertical="center"/>
    </xf>
    <xf numFmtId="49" fontId="33" fillId="0" borderId="13" xfId="0" applyNumberFormat="1" applyFont="1" applyBorder="1" applyAlignment="1">
      <alignment horizontal="center" vertical="center"/>
    </xf>
    <xf numFmtId="0" fontId="11" fillId="35" borderId="63" xfId="0" applyFont="1" applyFill="1" applyBorder="1" applyAlignment="1">
      <alignment horizontal="center" vertical="center"/>
    </xf>
    <xf numFmtId="0" fontId="11" fillId="35" borderId="64" xfId="0" applyFont="1" applyFill="1" applyBorder="1" applyAlignment="1">
      <alignment horizontal="center" vertical="center"/>
    </xf>
    <xf numFmtId="0" fontId="11" fillId="35" borderId="64" xfId="0" applyFont="1" applyFill="1" applyBorder="1" applyAlignment="1">
      <alignment horizontal="center" vertical="center" wrapText="1"/>
    </xf>
    <xf numFmtId="49" fontId="13" fillId="0" borderId="13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left" vertical="center" wrapText="1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 vertical="center"/>
    </xf>
    <xf numFmtId="166" fontId="4" fillId="0" borderId="12" xfId="0" applyNumberFormat="1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49" fontId="14" fillId="0" borderId="13" xfId="0" applyNumberFormat="1" applyFont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 wrapText="1"/>
    </xf>
    <xf numFmtId="49" fontId="4" fillId="0" borderId="24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vertical="center" wrapText="1"/>
    </xf>
    <xf numFmtId="4" fontId="4" fillId="0" borderId="19" xfId="0" applyNumberFormat="1" applyFont="1" applyFill="1" applyBorder="1" applyAlignment="1">
      <alignment vertical="center"/>
    </xf>
    <xf numFmtId="166" fontId="4" fillId="0" borderId="25" xfId="0" applyNumberFormat="1" applyFont="1" applyFill="1" applyBorder="1" applyAlignment="1">
      <alignment vertical="center"/>
    </xf>
    <xf numFmtId="0" fontId="11" fillId="36" borderId="17" xfId="0" applyFont="1" applyFill="1" applyBorder="1" applyAlignment="1">
      <alignment horizontal="center" vertical="center"/>
    </xf>
    <xf numFmtId="49" fontId="11" fillId="36" borderId="15" xfId="0" applyNumberFormat="1" applyFont="1" applyFill="1" applyBorder="1" applyAlignment="1">
      <alignment vertical="center"/>
    </xf>
    <xf numFmtId="167" fontId="11" fillId="36" borderId="44" xfId="0" applyNumberFormat="1" applyFont="1" applyFill="1" applyBorder="1" applyAlignment="1">
      <alignment horizontal="right" vertical="center"/>
    </xf>
    <xf numFmtId="169" fontId="11" fillId="36" borderId="16" xfId="0" applyNumberFormat="1" applyFont="1" applyFill="1" applyBorder="1" applyAlignment="1">
      <alignment vertical="center"/>
    </xf>
    <xf numFmtId="49" fontId="15" fillId="0" borderId="10" xfId="0" applyNumberFormat="1" applyFont="1" applyBorder="1" applyAlignment="1">
      <alignment vertical="center"/>
    </xf>
    <xf numFmtId="167" fontId="15" fillId="0" borderId="14" xfId="0" applyNumberFormat="1" applyFont="1" applyBorder="1" applyAlignment="1">
      <alignment horizontal="right" vertical="center"/>
    </xf>
    <xf numFmtId="167" fontId="13" fillId="0" borderId="14" xfId="0" applyNumberFormat="1" applyFont="1" applyBorder="1" applyAlignment="1">
      <alignment horizontal="right" vertical="center"/>
    </xf>
    <xf numFmtId="169" fontId="13" fillId="0" borderId="41" xfId="0" applyNumberFormat="1" applyFont="1" applyBorder="1" applyAlignment="1">
      <alignment vertical="center"/>
    </xf>
    <xf numFmtId="49" fontId="13" fillId="0" borderId="10" xfId="0" applyNumberFormat="1" applyFont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49" fontId="24" fillId="0" borderId="10" xfId="0" applyNumberFormat="1" applyFont="1" applyBorder="1" applyAlignment="1">
      <alignment vertical="center" wrapText="1"/>
    </xf>
    <xf numFmtId="4" fontId="24" fillId="0" borderId="10" xfId="0" applyNumberFormat="1" applyFont="1" applyBorder="1" applyAlignment="1">
      <alignment vertical="center"/>
    </xf>
    <xf numFmtId="167" fontId="24" fillId="0" borderId="14" xfId="0" applyNumberFormat="1" applyFont="1" applyBorder="1" applyAlignment="1">
      <alignment horizontal="right" vertical="center"/>
    </xf>
    <xf numFmtId="169" fontId="24" fillId="0" borderId="41" xfId="0" applyNumberFormat="1" applyFont="1" applyBorder="1" applyAlignment="1">
      <alignment vertical="center"/>
    </xf>
    <xf numFmtId="0" fontId="24" fillId="0" borderId="0" xfId="0" applyFont="1" applyAlignment="1">
      <alignment vertical="center"/>
    </xf>
    <xf numFmtId="0" fontId="13" fillId="0" borderId="11" xfId="0" applyFont="1" applyBorder="1" applyAlignment="1">
      <alignment horizontal="center" vertical="center"/>
    </xf>
    <xf numFmtId="167" fontId="10" fillId="0" borderId="14" xfId="0" applyNumberFormat="1" applyFont="1" applyBorder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0" fillId="0" borderId="56" xfId="0" applyFont="1" applyBorder="1" applyAlignment="1">
      <alignment horizontal="center" vertical="center"/>
    </xf>
    <xf numFmtId="49" fontId="10" fillId="0" borderId="30" xfId="0" applyNumberFormat="1" applyFont="1" applyFill="1" applyBorder="1" applyAlignment="1">
      <alignment vertical="center" wrapText="1"/>
    </xf>
    <xf numFmtId="4" fontId="10" fillId="0" borderId="30" xfId="0" applyNumberFormat="1" applyFont="1" applyFill="1" applyBorder="1" applyAlignment="1">
      <alignment vertical="center"/>
    </xf>
    <xf numFmtId="167" fontId="10" fillId="0" borderId="29" xfId="0" applyNumberFormat="1" applyFont="1" applyBorder="1" applyAlignment="1">
      <alignment horizontal="right" vertical="center"/>
    </xf>
    <xf numFmtId="169" fontId="13" fillId="0" borderId="40" xfId="0" applyNumberFormat="1" applyFont="1" applyBorder="1" applyAlignment="1">
      <alignment vertical="center"/>
    </xf>
    <xf numFmtId="0" fontId="11" fillId="36" borderId="24" xfId="0" applyFont="1" applyFill="1" applyBorder="1" applyAlignment="1">
      <alignment horizontal="center" vertical="center"/>
    </xf>
    <xf numFmtId="49" fontId="11" fillId="36" borderId="27" xfId="0" applyNumberFormat="1" applyFont="1" applyFill="1" applyBorder="1" applyAlignment="1">
      <alignment vertical="center"/>
    </xf>
    <xf numFmtId="169" fontId="11" fillId="36" borderId="20" xfId="0" applyNumberFormat="1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49" fontId="11" fillId="0" borderId="14" xfId="0" applyNumberFormat="1" applyFont="1" applyBorder="1" applyAlignment="1">
      <alignment vertical="center"/>
    </xf>
    <xf numFmtId="167" fontId="11" fillId="0" borderId="14" xfId="0" applyNumberFormat="1" applyFont="1" applyBorder="1" applyAlignment="1">
      <alignment horizontal="right" vertical="center"/>
    </xf>
    <xf numFmtId="169" fontId="11" fillId="0" borderId="53" xfId="0" applyNumberFormat="1" applyFont="1" applyBorder="1" applyAlignment="1">
      <alignment vertical="center"/>
    </xf>
    <xf numFmtId="49" fontId="10" fillId="0" borderId="14" xfId="0" applyNumberFormat="1" applyFont="1" applyBorder="1" applyAlignment="1">
      <alignment vertical="center" wrapText="1"/>
    </xf>
    <xf numFmtId="169" fontId="11" fillId="36" borderId="16" xfId="0" applyNumberFormat="1" applyFont="1" applyFill="1" applyBorder="1" applyAlignment="1">
      <alignment horizontal="center" vertical="center"/>
    </xf>
    <xf numFmtId="4" fontId="11" fillId="0" borderId="14" xfId="0" applyNumberFormat="1" applyFont="1" applyBorder="1" applyAlignment="1">
      <alignment vertical="center"/>
    </xf>
    <xf numFmtId="169" fontId="11" fillId="0" borderId="41" xfId="0" applyNumberFormat="1" applyFont="1" applyBorder="1" applyAlignment="1">
      <alignment vertical="center"/>
    </xf>
    <xf numFmtId="0" fontId="11" fillId="0" borderId="56" xfId="0" applyFont="1" applyBorder="1" applyAlignment="1">
      <alignment horizontal="center" vertical="center"/>
    </xf>
    <xf numFmtId="49" fontId="10" fillId="0" borderId="29" xfId="0" applyNumberFormat="1" applyFont="1" applyBorder="1" applyAlignment="1">
      <alignment vertical="center" wrapText="1"/>
    </xf>
    <xf numFmtId="4" fontId="10" fillId="0" borderId="29" xfId="0" applyNumberFormat="1" applyFont="1" applyBorder="1" applyAlignment="1">
      <alignment vertical="center"/>
    </xf>
    <xf numFmtId="169" fontId="10" fillId="0" borderId="40" xfId="0" applyNumberFormat="1" applyFont="1" applyBorder="1" applyAlignment="1">
      <alignment vertical="center"/>
    </xf>
    <xf numFmtId="39" fontId="10" fillId="0" borderId="59" xfId="0" applyNumberFormat="1" applyFont="1" applyBorder="1" applyAlignment="1">
      <alignment vertical="center"/>
    </xf>
    <xf numFmtId="164" fontId="10" fillId="0" borderId="14" xfId="0" applyNumberFormat="1" applyFont="1" applyFill="1" applyBorder="1" applyAlignment="1">
      <alignment vertical="top"/>
    </xf>
    <xf numFmtId="0" fontId="10" fillId="0" borderId="41" xfId="0" applyFont="1" applyFill="1" applyBorder="1" applyAlignment="1">
      <alignment horizontal="right" vertical="top"/>
    </xf>
    <xf numFmtId="4" fontId="10" fillId="37" borderId="0" xfId="0" applyNumberFormat="1" applyFont="1" applyFill="1" applyAlignment="1">
      <alignment/>
    </xf>
    <xf numFmtId="166" fontId="10" fillId="0" borderId="40" xfId="0" applyNumberFormat="1" applyFont="1" applyFill="1" applyBorder="1" applyAlignment="1">
      <alignment horizontal="right" vertical="top"/>
    </xf>
    <xf numFmtId="166" fontId="10" fillId="36" borderId="41" xfId="0" applyNumberFormat="1" applyFont="1" applyFill="1" applyBorder="1" applyAlignment="1">
      <alignment horizontal="right" vertical="top"/>
    </xf>
    <xf numFmtId="166" fontId="11" fillId="36" borderId="40" xfId="0" applyNumberFormat="1" applyFont="1" applyFill="1" applyBorder="1" applyAlignment="1">
      <alignment horizontal="right" vertical="top"/>
    </xf>
    <xf numFmtId="0" fontId="11" fillId="0" borderId="0" xfId="0" applyFont="1" applyFill="1" applyAlignment="1">
      <alignment/>
    </xf>
    <xf numFmtId="166" fontId="13" fillId="0" borderId="41" xfId="0" applyNumberFormat="1" applyFont="1" applyFill="1" applyBorder="1" applyAlignment="1">
      <alignment horizontal="right" vertical="center"/>
    </xf>
    <xf numFmtId="0" fontId="11" fillId="35" borderId="24" xfId="0" applyFont="1" applyFill="1" applyBorder="1" applyAlignment="1">
      <alignment horizontal="center" vertical="center"/>
    </xf>
    <xf numFmtId="0" fontId="11" fillId="35" borderId="19" xfId="0" applyFont="1" applyFill="1" applyBorder="1" applyAlignment="1">
      <alignment horizontal="center" vertical="center" wrapText="1"/>
    </xf>
    <xf numFmtId="0" fontId="10" fillId="0" borderId="60" xfId="0" applyFont="1" applyBorder="1" applyAlignment="1">
      <alignment horizontal="right"/>
    </xf>
    <xf numFmtId="0" fontId="11" fillId="35" borderId="54" xfId="0" applyFont="1" applyFill="1" applyBorder="1" applyAlignment="1">
      <alignment horizontal="center" vertical="center" wrapText="1"/>
    </xf>
    <xf numFmtId="4" fontId="10" fillId="0" borderId="0" xfId="0" applyNumberFormat="1" applyFont="1" applyFill="1" applyAlignment="1">
      <alignment vertical="center"/>
    </xf>
    <xf numFmtId="0" fontId="12" fillId="35" borderId="17" xfId="0" applyFont="1" applyFill="1" applyBorder="1" applyAlignment="1">
      <alignment horizontal="center" vertical="center"/>
    </xf>
    <xf numFmtId="0" fontId="12" fillId="35" borderId="15" xfId="0" applyFont="1" applyFill="1" applyBorder="1" applyAlignment="1">
      <alignment horizontal="center" vertical="center"/>
    </xf>
    <xf numFmtId="0" fontId="12" fillId="35" borderId="44" xfId="0" applyFont="1" applyFill="1" applyBorder="1" applyAlignment="1">
      <alignment horizontal="center" vertical="center"/>
    </xf>
    <xf numFmtId="0" fontId="12" fillId="35" borderId="16" xfId="0" applyFont="1" applyFill="1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4" fontId="12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4" fontId="11" fillId="0" borderId="15" xfId="0" applyNumberFormat="1" applyFont="1" applyBorder="1" applyAlignment="1">
      <alignment vertical="center"/>
    </xf>
    <xf numFmtId="168" fontId="11" fillId="0" borderId="16" xfId="0" applyNumberFormat="1" applyFont="1" applyBorder="1" applyAlignment="1">
      <alignment vertical="center"/>
    </xf>
    <xf numFmtId="0" fontId="15" fillId="0" borderId="15" xfId="0" applyFont="1" applyBorder="1" applyAlignment="1">
      <alignment vertical="center" wrapText="1"/>
    </xf>
    <xf numFmtId="4" fontId="10" fillId="0" borderId="15" xfId="0" applyNumberFormat="1" applyFont="1" applyBorder="1" applyAlignment="1">
      <alignment vertical="center"/>
    </xf>
    <xf numFmtId="168" fontId="10" fillId="0" borderId="16" xfId="0" applyNumberFormat="1" applyFont="1" applyBorder="1" applyAlignment="1">
      <alignment vertical="center"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4" fontId="10" fillId="0" borderId="43" xfId="0" applyNumberFormat="1" applyFont="1" applyBorder="1" applyAlignment="1">
      <alignment vertical="center"/>
    </xf>
    <xf numFmtId="168" fontId="10" fillId="0" borderId="47" xfId="0" applyNumberFormat="1" applyFont="1" applyBorder="1" applyAlignment="1">
      <alignment vertical="center"/>
    </xf>
    <xf numFmtId="0" fontId="11" fillId="36" borderId="28" xfId="0" applyFont="1" applyFill="1" applyBorder="1" applyAlignment="1">
      <alignment horizontal="center" vertical="center"/>
    </xf>
    <xf numFmtId="4" fontId="11" fillId="36" borderId="30" xfId="0" applyNumberFormat="1" applyFont="1" applyFill="1" applyBorder="1" applyAlignment="1">
      <alignment vertical="center"/>
    </xf>
    <xf numFmtId="168" fontId="11" fillId="36" borderId="40" xfId="0" applyNumberFormat="1" applyFont="1" applyFill="1" applyBorder="1" applyAlignment="1">
      <alignment vertical="center"/>
    </xf>
    <xf numFmtId="0" fontId="11" fillId="0" borderId="0" xfId="0" applyFont="1" applyFill="1" applyAlignment="1">
      <alignment horizontal="right" vertical="center"/>
    </xf>
    <xf numFmtId="4" fontId="11" fillId="0" borderId="0" xfId="0" applyNumberFormat="1" applyFont="1" applyFill="1" applyAlignment="1">
      <alignment horizontal="right" vertical="center"/>
    </xf>
    <xf numFmtId="4" fontId="21" fillId="0" borderId="0" xfId="0" applyNumberFormat="1" applyFont="1" applyAlignment="1">
      <alignment vertical="center"/>
    </xf>
    <xf numFmtId="0" fontId="10" fillId="0" borderId="19" xfId="0" applyFont="1" applyBorder="1" applyAlignment="1">
      <alignment horizontal="center" vertical="center"/>
    </xf>
    <xf numFmtId="0" fontId="10" fillId="0" borderId="19" xfId="0" applyFont="1" applyBorder="1" applyAlignment="1">
      <alignment vertical="center" wrapText="1"/>
    </xf>
    <xf numFmtId="4" fontId="10" fillId="0" borderId="19" xfId="0" applyNumberFormat="1" applyFont="1" applyBorder="1" applyAlignment="1">
      <alignment vertical="center"/>
    </xf>
    <xf numFmtId="168" fontId="10" fillId="0" borderId="20" xfId="0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4" fontId="11" fillId="0" borderId="19" xfId="0" applyNumberFormat="1" applyFont="1" applyBorder="1" applyAlignment="1">
      <alignment vertical="center"/>
    </xf>
    <xf numFmtId="168" fontId="11" fillId="0" borderId="20" xfId="0" applyNumberFormat="1" applyFont="1" applyBorder="1" applyAlignment="1">
      <alignment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vertical="center"/>
    </xf>
    <xf numFmtId="4" fontId="10" fillId="0" borderId="19" xfId="0" applyNumberFormat="1" applyFont="1" applyFill="1" applyBorder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66" xfId="0" applyFont="1" applyBorder="1" applyAlignment="1">
      <alignment vertical="center" wrapText="1"/>
    </xf>
    <xf numFmtId="0" fontId="10" fillId="0" borderId="15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vertical="center"/>
    </xf>
    <xf numFmtId="4" fontId="10" fillId="0" borderId="15" xfId="0" applyNumberFormat="1" applyFont="1" applyFill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43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vertical="center" wrapText="1"/>
    </xf>
    <xf numFmtId="4" fontId="10" fillId="0" borderId="43" xfId="0" applyNumberFormat="1" applyFont="1" applyFill="1" applyBorder="1" applyAlignment="1">
      <alignment vertical="center"/>
    </xf>
    <xf numFmtId="49" fontId="10" fillId="0" borderId="15" xfId="0" applyNumberFormat="1" applyFont="1" applyBorder="1" applyAlignment="1">
      <alignment horizontal="center" vertical="center"/>
    </xf>
    <xf numFmtId="0" fontId="10" fillId="0" borderId="43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4" fontId="11" fillId="0" borderId="36" xfId="0" applyNumberFormat="1" applyFont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4" fontId="11" fillId="0" borderId="0" xfId="0" applyNumberFormat="1" applyFont="1" applyFill="1" applyBorder="1" applyAlignment="1">
      <alignment vertical="center"/>
    </xf>
    <xf numFmtId="168" fontId="11" fillId="0" borderId="0" xfId="0" applyNumberFormat="1" applyFont="1" applyFill="1" applyBorder="1" applyAlignment="1">
      <alignment vertical="center"/>
    </xf>
    <xf numFmtId="4" fontId="11" fillId="0" borderId="0" xfId="0" applyNumberFormat="1" applyFont="1" applyFill="1" applyAlignment="1">
      <alignment vertical="center"/>
    </xf>
    <xf numFmtId="4" fontId="14" fillId="0" borderId="0" xfId="0" applyNumberFormat="1" applyFont="1" applyAlignment="1">
      <alignment vertical="center"/>
    </xf>
    <xf numFmtId="0" fontId="50" fillId="0" borderId="0" xfId="0" applyFont="1" applyAlignment="1">
      <alignment vertical="center"/>
    </xf>
    <xf numFmtId="0" fontId="11" fillId="35" borderId="67" xfId="0" applyFont="1" applyFill="1" applyBorder="1" applyAlignment="1">
      <alignment horizontal="center" vertical="center" wrapText="1"/>
    </xf>
    <xf numFmtId="0" fontId="28" fillId="35" borderId="48" xfId="0" applyFont="1" applyFill="1" applyBorder="1" applyAlignment="1">
      <alignment horizontal="center" vertical="center"/>
    </xf>
    <xf numFmtId="0" fontId="28" fillId="35" borderId="49" xfId="0" applyFont="1" applyFill="1" applyBorder="1" applyAlignment="1">
      <alignment horizontal="center" vertical="center"/>
    </xf>
    <xf numFmtId="0" fontId="28" fillId="35" borderId="49" xfId="0" applyFont="1" applyFill="1" applyBorder="1" applyAlignment="1">
      <alignment horizontal="center" vertical="center" wrapText="1"/>
    </xf>
    <xf numFmtId="0" fontId="28" fillId="35" borderId="50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11" fillId="36" borderId="19" xfId="0" applyFont="1" applyFill="1" applyBorder="1" applyAlignment="1">
      <alignment vertical="center"/>
    </xf>
    <xf numFmtId="168" fontId="11" fillId="36" borderId="20" xfId="0" applyNumberFormat="1" applyFont="1" applyFill="1" applyBorder="1" applyAlignment="1">
      <alignment vertical="center"/>
    </xf>
    <xf numFmtId="168" fontId="10" fillId="0" borderId="41" xfId="0" applyNumberFormat="1" applyFont="1" applyBorder="1" applyAlignment="1">
      <alignment vertical="center"/>
    </xf>
    <xf numFmtId="0" fontId="11" fillId="36" borderId="32" xfId="0" applyFont="1" applyFill="1" applyBorder="1" applyAlignment="1">
      <alignment vertical="center" wrapText="1"/>
    </xf>
    <xf numFmtId="168" fontId="11" fillId="36" borderId="20" xfId="0" applyNumberFormat="1" applyFont="1" applyFill="1" applyBorder="1" applyAlignment="1">
      <alignment horizontal="center" vertical="center"/>
    </xf>
    <xf numFmtId="4" fontId="11" fillId="37" borderId="62" xfId="0" applyNumberFormat="1" applyFont="1" applyFill="1" applyBorder="1" applyAlignment="1">
      <alignment vertical="center"/>
    </xf>
    <xf numFmtId="168" fontId="11" fillId="37" borderId="58" xfId="0" applyNumberFormat="1" applyFont="1" applyFill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vertical="center" wrapText="1"/>
    </xf>
    <xf numFmtId="168" fontId="10" fillId="0" borderId="10" xfId="0" applyNumberFormat="1" applyFont="1" applyBorder="1" applyAlignment="1">
      <alignment vertical="center"/>
    </xf>
    <xf numFmtId="168" fontId="11" fillId="36" borderId="34" xfId="0" applyNumberFormat="1" applyFont="1" applyFill="1" applyBorder="1" applyAlignment="1">
      <alignment vertical="center"/>
    </xf>
    <xf numFmtId="0" fontId="11" fillId="36" borderId="30" xfId="0" applyFont="1" applyFill="1" applyBorder="1" applyAlignment="1">
      <alignment vertical="center"/>
    </xf>
    <xf numFmtId="0" fontId="11" fillId="36" borderId="30" xfId="0" applyFont="1" applyFill="1" applyBorder="1" applyAlignment="1">
      <alignment vertical="center" wrapText="1"/>
    </xf>
    <xf numFmtId="168" fontId="11" fillId="36" borderId="40" xfId="0" applyNumberFormat="1" applyFont="1" applyFill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0" fontId="11" fillId="36" borderId="18" xfId="0" applyFont="1" applyFill="1" applyBorder="1" applyAlignment="1">
      <alignment horizontal="center" vertical="center"/>
    </xf>
    <xf numFmtId="0" fontId="11" fillId="36" borderId="15" xfId="0" applyFont="1" applyFill="1" applyBorder="1" applyAlignment="1">
      <alignment vertical="center"/>
    </xf>
    <xf numFmtId="168" fontId="11" fillId="36" borderId="34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168" fontId="10" fillId="0" borderId="12" xfId="0" applyNumberFormat="1" applyFont="1" applyBorder="1" applyAlignment="1">
      <alignment vertical="center"/>
    </xf>
    <xf numFmtId="9" fontId="10" fillId="0" borderId="10" xfId="66" applyFont="1" applyBorder="1" applyAlignment="1">
      <alignment vertical="center" wrapText="1"/>
    </xf>
    <xf numFmtId="0" fontId="10" fillId="0" borderId="13" xfId="0" applyFont="1" applyBorder="1" applyAlignment="1">
      <alignment horizontal="center" vertical="center" wrapText="1"/>
    </xf>
    <xf numFmtId="168" fontId="10" fillId="0" borderId="20" xfId="0" applyNumberFormat="1" applyFont="1" applyBorder="1" applyAlignment="1">
      <alignment horizontal="center" vertical="center"/>
    </xf>
    <xf numFmtId="0" fontId="11" fillId="36" borderId="15" xfId="0" applyFont="1" applyFill="1" applyBorder="1" applyAlignment="1">
      <alignment vertical="center" wrapText="1"/>
    </xf>
    <xf numFmtId="168" fontId="11" fillId="36" borderId="16" xfId="0" applyNumberFormat="1" applyFont="1" applyFill="1" applyBorder="1" applyAlignment="1">
      <alignment horizontal="center" vertical="center"/>
    </xf>
    <xf numFmtId="0" fontId="11" fillId="36" borderId="13" xfId="0" applyFont="1" applyFill="1" applyBorder="1" applyAlignment="1">
      <alignment horizontal="center" vertical="center"/>
    </xf>
    <xf numFmtId="0" fontId="11" fillId="36" borderId="10" xfId="0" applyFont="1" applyFill="1" applyBorder="1" applyAlignment="1">
      <alignment vertical="center"/>
    </xf>
    <xf numFmtId="0" fontId="11" fillId="36" borderId="10" xfId="0" applyFont="1" applyFill="1" applyBorder="1" applyAlignment="1">
      <alignment vertical="center" wrapText="1"/>
    </xf>
    <xf numFmtId="4" fontId="11" fillId="36" borderId="10" xfId="0" applyNumberFormat="1" applyFont="1" applyFill="1" applyBorder="1" applyAlignment="1">
      <alignment vertical="center"/>
    </xf>
    <xf numFmtId="168" fontId="11" fillId="36" borderId="41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1" fillId="35" borderId="44" xfId="0" applyFont="1" applyFill="1" applyBorder="1" applyAlignment="1">
      <alignment horizontal="center" vertical="center" wrapText="1"/>
    </xf>
    <xf numFmtId="0" fontId="11" fillId="35" borderId="17" xfId="0" applyFont="1" applyFill="1" applyBorder="1" applyAlignment="1">
      <alignment horizontal="center" vertical="center"/>
    </xf>
    <xf numFmtId="0" fontId="11" fillId="35" borderId="15" xfId="0" applyFont="1" applyFill="1" applyBorder="1" applyAlignment="1">
      <alignment horizontal="center" vertical="center" wrapText="1"/>
    </xf>
    <xf numFmtId="0" fontId="26" fillId="35" borderId="15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/>
    </xf>
    <xf numFmtId="4" fontId="11" fillId="35" borderId="15" xfId="0" applyNumberFormat="1" applyFont="1" applyFill="1" applyBorder="1" applyAlignment="1">
      <alignment vertical="center"/>
    </xf>
    <xf numFmtId="4" fontId="11" fillId="35" borderId="16" xfId="0" applyNumberFormat="1" applyFont="1" applyFill="1" applyBorder="1" applyAlignment="1">
      <alignment vertical="center"/>
    </xf>
    <xf numFmtId="0" fontId="10" fillId="35" borderId="0" xfId="0" applyFont="1" applyFill="1" applyAlignment="1">
      <alignment vertical="center"/>
    </xf>
    <xf numFmtId="0" fontId="11" fillId="0" borderId="17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4" fontId="11" fillId="0" borderId="15" xfId="0" applyNumberFormat="1" applyFont="1" applyFill="1" applyBorder="1" applyAlignment="1">
      <alignment vertical="center"/>
    </xf>
    <xf numFmtId="4" fontId="11" fillId="0" borderId="16" xfId="0" applyNumberFormat="1" applyFont="1" applyFill="1" applyBorder="1" applyAlignment="1">
      <alignment vertical="center"/>
    </xf>
    <xf numFmtId="0" fontId="10" fillId="35" borderId="17" xfId="0" applyFont="1" applyFill="1" applyBorder="1" applyAlignment="1">
      <alignment horizontal="center" vertical="center"/>
    </xf>
    <xf numFmtId="49" fontId="10" fillId="35" borderId="15" xfId="0" applyNumberFormat="1" applyFont="1" applyFill="1" applyBorder="1" applyAlignment="1">
      <alignment horizontal="center" vertical="center"/>
    </xf>
    <xf numFmtId="4" fontId="10" fillId="35" borderId="15" xfId="0" applyNumberFormat="1" applyFont="1" applyFill="1" applyBorder="1" applyAlignment="1">
      <alignment vertical="center"/>
    </xf>
    <xf numFmtId="4" fontId="10" fillId="35" borderId="44" xfId="0" applyNumberFormat="1" applyFont="1" applyFill="1" applyBorder="1" applyAlignment="1">
      <alignment vertical="center"/>
    </xf>
    <xf numFmtId="4" fontId="10" fillId="35" borderId="16" xfId="0" applyNumberFormat="1" applyFont="1" applyFill="1" applyBorder="1" applyAlignment="1">
      <alignment vertical="center"/>
    </xf>
    <xf numFmtId="4" fontId="10" fillId="0" borderId="44" xfId="0" applyNumberFormat="1" applyFont="1" applyBorder="1" applyAlignment="1">
      <alignment vertical="center"/>
    </xf>
    <xf numFmtId="4" fontId="10" fillId="0" borderId="16" xfId="0" applyNumberFormat="1" applyFont="1" applyBorder="1" applyAlignment="1">
      <alignment vertical="center"/>
    </xf>
    <xf numFmtId="0" fontId="10" fillId="35" borderId="15" xfId="0" applyFont="1" applyFill="1" applyBorder="1" applyAlignment="1">
      <alignment horizontal="center" vertical="center"/>
    </xf>
    <xf numFmtId="0" fontId="10" fillId="39" borderId="15" xfId="0" applyFont="1" applyFill="1" applyBorder="1" applyAlignment="1">
      <alignment horizontal="center" vertical="center"/>
    </xf>
    <xf numFmtId="4" fontId="10" fillId="39" borderId="15" xfId="0" applyNumberFormat="1" applyFont="1" applyFill="1" applyBorder="1" applyAlignment="1">
      <alignment vertical="center"/>
    </xf>
    <xf numFmtId="4" fontId="10" fillId="39" borderId="44" xfId="0" applyNumberFormat="1" applyFont="1" applyFill="1" applyBorder="1" applyAlignment="1">
      <alignment vertical="center"/>
    </xf>
    <xf numFmtId="4" fontId="10" fillId="39" borderId="16" xfId="0" applyNumberFormat="1" applyFont="1" applyFill="1" applyBorder="1" applyAlignment="1">
      <alignment vertical="center"/>
    </xf>
    <xf numFmtId="0" fontId="10" fillId="39" borderId="0" xfId="0" applyFont="1" applyFill="1" applyAlignment="1">
      <alignment vertical="center"/>
    </xf>
    <xf numFmtId="4" fontId="10" fillId="35" borderId="19" xfId="0" applyNumberFormat="1" applyFont="1" applyFill="1" applyBorder="1" applyAlignment="1">
      <alignment vertical="center"/>
    </xf>
    <xf numFmtId="4" fontId="10" fillId="35" borderId="27" xfId="0" applyNumberFormat="1" applyFont="1" applyFill="1" applyBorder="1" applyAlignment="1">
      <alignment vertical="center"/>
    </xf>
    <xf numFmtId="4" fontId="10" fillId="35" borderId="20" xfId="0" applyNumberFormat="1" applyFont="1" applyFill="1" applyBorder="1" applyAlignment="1">
      <alignment vertical="center"/>
    </xf>
    <xf numFmtId="0" fontId="10" fillId="35" borderId="24" xfId="0" applyFont="1" applyFill="1" applyBorder="1" applyAlignment="1">
      <alignment horizontal="center" vertical="center"/>
    </xf>
    <xf numFmtId="0" fontId="10" fillId="35" borderId="19" xfId="0" applyFont="1" applyFill="1" applyBorder="1" applyAlignment="1">
      <alignment horizontal="center" vertical="center"/>
    </xf>
    <xf numFmtId="49" fontId="10" fillId="35" borderId="19" xfId="0" applyNumberFormat="1" applyFont="1" applyFill="1" applyBorder="1" applyAlignment="1">
      <alignment horizontal="center" vertical="center"/>
    </xf>
    <xf numFmtId="49" fontId="10" fillId="0" borderId="43" xfId="0" applyNumberFormat="1" applyFont="1" applyBorder="1" applyAlignment="1">
      <alignment horizontal="center" vertical="center"/>
    </xf>
    <xf numFmtId="4" fontId="10" fillId="0" borderId="46" xfId="0" applyNumberFormat="1" applyFont="1" applyBorder="1" applyAlignment="1">
      <alignment vertical="center"/>
    </xf>
    <xf numFmtId="4" fontId="10" fillId="0" borderId="47" xfId="0" applyNumberFormat="1" applyFont="1" applyBorder="1" applyAlignment="1">
      <alignment vertical="center"/>
    </xf>
    <xf numFmtId="4" fontId="11" fillId="35" borderId="19" xfId="0" applyNumberFormat="1" applyFont="1" applyFill="1" applyBorder="1" applyAlignment="1">
      <alignment vertical="center"/>
    </xf>
    <xf numFmtId="4" fontId="11" fillId="35" borderId="20" xfId="0" applyNumberFormat="1" applyFont="1" applyFill="1" applyBorder="1" applyAlignment="1">
      <alignment vertical="center"/>
    </xf>
    <xf numFmtId="0" fontId="11" fillId="35" borderId="0" xfId="0" applyFont="1" applyFill="1" applyAlignment="1">
      <alignment vertical="center"/>
    </xf>
    <xf numFmtId="0" fontId="11" fillId="0" borderId="48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4" fontId="11" fillId="0" borderId="49" xfId="0" applyNumberFormat="1" applyFont="1" applyBorder="1" applyAlignment="1">
      <alignment vertical="center"/>
    </xf>
    <xf numFmtId="4" fontId="11" fillId="0" borderId="50" xfId="0" applyNumberFormat="1" applyFont="1" applyBorder="1" applyAlignment="1">
      <alignment vertical="center"/>
    </xf>
    <xf numFmtId="4" fontId="10" fillId="0" borderId="0" xfId="0" applyNumberFormat="1" applyFont="1" applyFill="1" applyBorder="1" applyAlignment="1">
      <alignment vertical="center"/>
    </xf>
    <xf numFmtId="4" fontId="10" fillId="35" borderId="15" xfId="0" applyNumberFormat="1" applyFont="1" applyFill="1" applyBorder="1" applyAlignment="1">
      <alignment horizontal="right" vertical="center"/>
    </xf>
    <xf numFmtId="4" fontId="11" fillId="0" borderId="16" xfId="0" applyNumberFormat="1" applyFont="1" applyBorder="1" applyAlignment="1">
      <alignment vertical="center"/>
    </xf>
    <xf numFmtId="4" fontId="10" fillId="0" borderId="16" xfId="0" applyNumberFormat="1" applyFont="1" applyFill="1" applyBorder="1" applyAlignment="1">
      <alignment vertical="center"/>
    </xf>
    <xf numFmtId="4" fontId="11" fillId="0" borderId="49" xfId="0" applyNumberFormat="1" applyFont="1" applyFill="1" applyBorder="1" applyAlignment="1">
      <alignment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49" fontId="10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right" vertical="center"/>
    </xf>
    <xf numFmtId="49" fontId="12" fillId="35" borderId="35" xfId="0" applyNumberFormat="1" applyFont="1" applyFill="1" applyBorder="1" applyAlignment="1">
      <alignment horizontal="center" vertical="center"/>
    </xf>
    <xf numFmtId="49" fontId="12" fillId="35" borderId="68" xfId="0" applyNumberFormat="1" applyFont="1" applyFill="1" applyBorder="1" applyAlignment="1">
      <alignment horizontal="center" vertical="center"/>
    </xf>
    <xf numFmtId="0" fontId="26" fillId="35" borderId="49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49" fontId="10" fillId="0" borderId="15" xfId="0" applyNumberFormat="1" applyFont="1" applyFill="1" applyBorder="1" applyAlignment="1">
      <alignment vertical="center" wrapText="1"/>
    </xf>
    <xf numFmtId="49" fontId="10" fillId="0" borderId="17" xfId="0" applyNumberFormat="1" applyFont="1" applyFill="1" applyBorder="1" applyAlignment="1">
      <alignment horizontal="center" vertical="center"/>
    </xf>
    <xf numFmtId="49" fontId="10" fillId="0" borderId="26" xfId="0" applyNumberFormat="1" applyFont="1" applyFill="1" applyBorder="1" applyAlignment="1">
      <alignment horizontal="center" vertical="center"/>
    </xf>
    <xf numFmtId="4" fontId="10" fillId="0" borderId="19" xfId="0" applyNumberFormat="1" applyFont="1" applyFill="1" applyBorder="1" applyAlignment="1">
      <alignment horizontal="right" vertical="center"/>
    </xf>
    <xf numFmtId="168" fontId="10" fillId="0" borderId="19" xfId="0" applyNumberFormat="1" applyFont="1" applyFill="1" applyBorder="1" applyAlignment="1">
      <alignment vertical="center"/>
    </xf>
    <xf numFmtId="168" fontId="10" fillId="0" borderId="20" xfId="0" applyNumberFormat="1" applyFont="1" applyFill="1" applyBorder="1" applyAlignment="1">
      <alignment horizontal="right" vertical="center"/>
    </xf>
    <xf numFmtId="4" fontId="10" fillId="0" borderId="0" xfId="0" applyNumberFormat="1" applyFont="1" applyFill="1" applyAlignment="1">
      <alignment horizontal="right" vertical="center"/>
    </xf>
    <xf numFmtId="0" fontId="30" fillId="0" borderId="0" xfId="0" applyFont="1" applyFill="1" applyAlignment="1">
      <alignment horizontal="right" vertical="center"/>
    </xf>
    <xf numFmtId="4" fontId="21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49" fontId="10" fillId="0" borderId="26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vertical="center" wrapText="1"/>
    </xf>
    <xf numFmtId="49" fontId="10" fillId="0" borderId="17" xfId="0" applyNumberFormat="1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49" fontId="11" fillId="0" borderId="17" xfId="0" applyNumberFormat="1" applyFont="1" applyFill="1" applyBorder="1" applyAlignment="1">
      <alignment horizontal="center" vertical="center"/>
    </xf>
    <xf numFmtId="49" fontId="11" fillId="0" borderId="26" xfId="0" applyNumberFormat="1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left" vertical="center" wrapText="1"/>
    </xf>
    <xf numFmtId="4" fontId="11" fillId="0" borderId="19" xfId="0" applyNumberFormat="1" applyFont="1" applyFill="1" applyBorder="1" applyAlignment="1">
      <alignment horizontal="right" vertical="center"/>
    </xf>
    <xf numFmtId="168" fontId="11" fillId="0" borderId="19" xfId="0" applyNumberFormat="1" applyFont="1" applyFill="1" applyBorder="1" applyAlignment="1">
      <alignment vertical="center"/>
    </xf>
    <xf numFmtId="4" fontId="11" fillId="0" borderId="27" xfId="0" applyNumberFormat="1" applyFont="1" applyFill="1" applyBorder="1" applyAlignment="1">
      <alignment horizontal="right" vertical="center"/>
    </xf>
    <xf numFmtId="168" fontId="11" fillId="0" borderId="20" xfId="0" applyNumberFormat="1" applyFont="1" applyFill="1" applyBorder="1" applyAlignment="1">
      <alignment horizontal="right" vertical="center"/>
    </xf>
    <xf numFmtId="4" fontId="12" fillId="0" borderId="0" xfId="0" applyNumberFormat="1" applyFont="1" applyFill="1" applyAlignment="1">
      <alignment horizontal="center" vertical="center"/>
    </xf>
    <xf numFmtId="4" fontId="21" fillId="0" borderId="0" xfId="0" applyNumberFormat="1" applyFont="1" applyFill="1" applyAlignment="1">
      <alignment horizontal="right" vertical="center"/>
    </xf>
    <xf numFmtId="0" fontId="12" fillId="0" borderId="0" xfId="0" applyFont="1" applyFill="1" applyAlignment="1">
      <alignment horizontal="right" vertical="center"/>
    </xf>
    <xf numFmtId="4" fontId="10" fillId="0" borderId="15" xfId="0" applyNumberFormat="1" applyFont="1" applyFill="1" applyBorder="1" applyAlignment="1">
      <alignment horizontal="right" vertical="center"/>
    </xf>
    <xf numFmtId="49" fontId="10" fillId="0" borderId="45" xfId="0" applyNumberFormat="1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left" vertical="center"/>
    </xf>
    <xf numFmtId="168" fontId="10" fillId="0" borderId="16" xfId="0" applyNumberFormat="1" applyFont="1" applyFill="1" applyBorder="1" applyAlignment="1">
      <alignment horizontal="right" vertical="center"/>
    </xf>
    <xf numFmtId="49" fontId="11" fillId="0" borderId="45" xfId="0" applyNumberFormat="1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4" fontId="11" fillId="0" borderId="15" xfId="0" applyNumberFormat="1" applyFont="1" applyFill="1" applyBorder="1" applyAlignment="1">
      <alignment horizontal="right" vertical="center"/>
    </xf>
    <xf numFmtId="168" fontId="11" fillId="0" borderId="16" xfId="0" applyNumberFormat="1" applyFont="1" applyFill="1" applyBorder="1" applyAlignment="1">
      <alignment horizontal="right" vertical="center"/>
    </xf>
    <xf numFmtId="49" fontId="10" fillId="0" borderId="45" xfId="0" applyNumberFormat="1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left" vertical="center" wrapText="1"/>
    </xf>
    <xf numFmtId="0" fontId="18" fillId="0" borderId="15" xfId="0" applyFont="1" applyFill="1" applyBorder="1" applyAlignment="1">
      <alignment vertical="center" wrapText="1"/>
    </xf>
    <xf numFmtId="168" fontId="10" fillId="0" borderId="15" xfId="0" applyNumberFormat="1" applyFont="1" applyFill="1" applyBorder="1" applyAlignment="1">
      <alignment vertical="center"/>
    </xf>
    <xf numFmtId="49" fontId="18" fillId="0" borderId="10" xfId="0" applyNumberFormat="1" applyFont="1" applyFill="1" applyBorder="1" applyAlignment="1">
      <alignment horizontal="left" vertical="center" wrapText="1"/>
    </xf>
    <xf numFmtId="49" fontId="10" fillId="0" borderId="15" xfId="0" applyNumberFormat="1" applyFont="1" applyFill="1" applyBorder="1" applyAlignment="1">
      <alignment horizontal="center" vertical="center" wrapText="1"/>
    </xf>
    <xf numFmtId="49" fontId="18" fillId="0" borderId="15" xfId="0" applyNumberFormat="1" applyFont="1" applyFill="1" applyBorder="1" applyAlignment="1">
      <alignment vertical="center" wrapText="1"/>
    </xf>
    <xf numFmtId="49" fontId="11" fillId="0" borderId="17" xfId="0" applyNumberFormat="1" applyFont="1" applyFill="1" applyBorder="1" applyAlignment="1">
      <alignment horizontal="center" vertical="center" wrapText="1"/>
    </xf>
    <xf numFmtId="49" fontId="11" fillId="0" borderId="26" xfId="0" applyNumberFormat="1" applyFont="1" applyFill="1" applyBorder="1" applyAlignment="1">
      <alignment horizontal="center" vertical="center" wrapText="1"/>
    </xf>
    <xf numFmtId="4" fontId="11" fillId="0" borderId="19" xfId="0" applyNumberFormat="1" applyFont="1" applyFill="1" applyBorder="1" applyAlignment="1">
      <alignment vertical="center"/>
    </xf>
    <xf numFmtId="49" fontId="11" fillId="0" borderId="45" xfId="0" applyNumberFormat="1" applyFont="1" applyFill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left" vertical="center"/>
    </xf>
    <xf numFmtId="0" fontId="26" fillId="0" borderId="15" xfId="0" applyFont="1" applyFill="1" applyBorder="1" applyAlignment="1">
      <alignment horizontal="left" vertical="center"/>
    </xf>
    <xf numFmtId="4" fontId="12" fillId="0" borderId="0" xfId="0" applyNumberFormat="1" applyFont="1" applyFill="1" applyAlignment="1">
      <alignment horizontal="right" vertical="center"/>
    </xf>
    <xf numFmtId="4" fontId="10" fillId="0" borderId="15" xfId="0" applyNumberFormat="1" applyFont="1" applyFill="1" applyBorder="1" applyAlignment="1">
      <alignment horizontal="left" vertical="center"/>
    </xf>
    <xf numFmtId="4" fontId="11" fillId="37" borderId="30" xfId="0" applyNumberFormat="1" applyFont="1" applyFill="1" applyBorder="1" applyAlignment="1">
      <alignment horizontal="right" vertical="center"/>
    </xf>
    <xf numFmtId="168" fontId="11" fillId="37" borderId="49" xfId="0" applyNumberFormat="1" applyFont="1" applyFill="1" applyBorder="1" applyAlignment="1">
      <alignment vertical="center"/>
    </xf>
    <xf numFmtId="168" fontId="11" fillId="37" borderId="50" xfId="0" applyNumberFormat="1" applyFont="1" applyFill="1" applyBorder="1" applyAlignment="1">
      <alignment horizontal="right" vertical="center"/>
    </xf>
    <xf numFmtId="4" fontId="10" fillId="0" borderId="0" xfId="0" applyNumberFormat="1" applyFont="1" applyFill="1" applyAlignment="1">
      <alignment horizontal="right" vertical="center" wrapText="1"/>
    </xf>
    <xf numFmtId="0" fontId="10" fillId="0" borderId="0" xfId="0" applyFont="1" applyFill="1" applyAlignment="1">
      <alignment horizontal="right" vertical="center" wrapText="1"/>
    </xf>
    <xf numFmtId="0" fontId="10" fillId="0" borderId="0" xfId="0" applyFont="1" applyFill="1" applyAlignment="1">
      <alignment vertical="center" wrapText="1"/>
    </xf>
    <xf numFmtId="168" fontId="10" fillId="0" borderId="20" xfId="0" applyNumberFormat="1" applyFont="1" applyFill="1" applyBorder="1" applyAlignment="1">
      <alignment horizontal="right" vertical="center"/>
    </xf>
    <xf numFmtId="3" fontId="10" fillId="0" borderId="0" xfId="0" applyNumberFormat="1" applyFont="1" applyFill="1" applyAlignment="1">
      <alignment horizontal="right" vertical="center"/>
    </xf>
    <xf numFmtId="168" fontId="10" fillId="0" borderId="0" xfId="0" applyNumberFormat="1" applyFont="1" applyFill="1" applyAlignment="1">
      <alignment horizontal="right" vertical="center"/>
    </xf>
    <xf numFmtId="4" fontId="10" fillId="0" borderId="44" xfId="0" applyNumberFormat="1" applyFont="1" applyFill="1" applyBorder="1" applyAlignment="1">
      <alignment vertical="center"/>
    </xf>
    <xf numFmtId="4" fontId="14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2" fillId="35" borderId="32" xfId="0" applyFont="1" applyFill="1" applyBorder="1" applyAlignment="1">
      <alignment horizontal="center" vertical="center"/>
    </xf>
    <xf numFmtId="0" fontId="12" fillId="35" borderId="54" xfId="0" applyFont="1" applyFill="1" applyBorder="1" applyAlignment="1">
      <alignment horizontal="center" vertical="center"/>
    </xf>
    <xf numFmtId="0" fontId="12" fillId="35" borderId="34" xfId="0" applyFont="1" applyFill="1" applyBorder="1" applyAlignment="1">
      <alignment horizontal="center" vertical="center"/>
    </xf>
    <xf numFmtId="4" fontId="14" fillId="37" borderId="19" xfId="0" applyNumberFormat="1" applyFont="1" applyFill="1" applyBorder="1" applyAlignment="1">
      <alignment vertical="center"/>
    </xf>
    <xf numFmtId="168" fontId="14" fillId="37" borderId="20" xfId="0" applyNumberFormat="1" applyFont="1" applyFill="1" applyBorder="1" applyAlignment="1">
      <alignment vertical="center"/>
    </xf>
    <xf numFmtId="4" fontId="14" fillId="37" borderId="43" xfId="0" applyNumberFormat="1" applyFont="1" applyFill="1" applyBorder="1" applyAlignment="1">
      <alignment vertical="center"/>
    </xf>
    <xf numFmtId="168" fontId="14" fillId="37" borderId="47" xfId="0" applyNumberFormat="1" applyFont="1" applyFill="1" applyBorder="1" applyAlignment="1">
      <alignment vertical="center"/>
    </xf>
    <xf numFmtId="4" fontId="11" fillId="37" borderId="30" xfId="0" applyNumberFormat="1" applyFont="1" applyFill="1" applyBorder="1" applyAlignment="1">
      <alignment vertical="center"/>
    </xf>
    <xf numFmtId="168" fontId="11" fillId="37" borderId="40" xfId="0" applyNumberFormat="1" applyFont="1" applyFill="1" applyBorder="1" applyAlignment="1">
      <alignment vertical="center"/>
    </xf>
    <xf numFmtId="4" fontId="15" fillId="0" borderId="0" xfId="0" applyNumberFormat="1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49" fontId="12" fillId="35" borderId="36" xfId="0" applyNumberFormat="1" applyFont="1" applyFill="1" applyBorder="1" applyAlignment="1">
      <alignment horizontal="center" vertical="center"/>
    </xf>
    <xf numFmtId="0" fontId="12" fillId="35" borderId="52" xfId="0" applyFont="1" applyFill="1" applyBorder="1" applyAlignment="1">
      <alignment horizontal="center" vertical="center"/>
    </xf>
    <xf numFmtId="0" fontId="12" fillId="35" borderId="36" xfId="0" applyFont="1" applyFill="1" applyBorder="1" applyAlignment="1">
      <alignment horizontal="center" vertical="center"/>
    </xf>
    <xf numFmtId="0" fontId="12" fillId="35" borderId="53" xfId="0" applyFont="1" applyFill="1" applyBorder="1" applyAlignment="1">
      <alignment horizontal="center" vertical="center"/>
    </xf>
    <xf numFmtId="0" fontId="12" fillId="35" borderId="0" xfId="0" applyFont="1" applyFill="1" applyAlignment="1">
      <alignment horizontal="center" vertical="center"/>
    </xf>
    <xf numFmtId="4" fontId="11" fillId="36" borderId="15" xfId="0" applyNumberFormat="1" applyFont="1" applyFill="1" applyBorder="1" applyAlignment="1">
      <alignment horizontal="right" vertical="center"/>
    </xf>
    <xf numFmtId="4" fontId="11" fillId="36" borderId="16" xfId="0" applyNumberFormat="1" applyFont="1" applyFill="1" applyBorder="1" applyAlignment="1">
      <alignment horizontal="right" vertical="center"/>
    </xf>
    <xf numFmtId="4" fontId="10" fillId="0" borderId="0" xfId="0" applyNumberFormat="1" applyFont="1" applyAlignment="1">
      <alignment vertical="center"/>
    </xf>
    <xf numFmtId="0" fontId="11" fillId="0" borderId="0" xfId="0" applyFont="1" applyAlignment="1">
      <alignment horizontal="center" vertical="center"/>
    </xf>
    <xf numFmtId="49" fontId="10" fillId="0" borderId="69" xfId="0" applyNumberFormat="1" applyFont="1" applyFill="1" applyBorder="1" applyAlignment="1">
      <alignment horizontal="center" vertical="center"/>
    </xf>
    <xf numFmtId="49" fontId="10" fillId="0" borderId="70" xfId="0" applyNumberFormat="1" applyFont="1" applyFill="1" applyBorder="1" applyAlignment="1">
      <alignment horizontal="center" vertical="center"/>
    </xf>
    <xf numFmtId="0" fontId="10" fillId="0" borderId="71" xfId="0" applyFont="1" applyFill="1" applyBorder="1" applyAlignment="1">
      <alignment horizontal="left" vertical="center" wrapText="1"/>
    </xf>
    <xf numFmtId="4" fontId="10" fillId="0" borderId="70" xfId="0" applyNumberFormat="1" applyFont="1" applyFill="1" applyBorder="1" applyAlignment="1">
      <alignment horizontal="right" vertical="center"/>
    </xf>
    <xf numFmtId="4" fontId="10" fillId="0" borderId="72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49" fontId="13" fillId="0" borderId="73" xfId="0" applyNumberFormat="1" applyFont="1" applyFill="1" applyBorder="1" applyAlignment="1">
      <alignment horizontal="center" vertical="center"/>
    </xf>
    <xf numFmtId="49" fontId="13" fillId="0" borderId="74" xfId="0" applyNumberFormat="1" applyFont="1" applyFill="1" applyBorder="1" applyAlignment="1">
      <alignment horizontal="center" vertical="center"/>
    </xf>
    <xf numFmtId="0" fontId="13" fillId="0" borderId="75" xfId="0" applyFont="1" applyFill="1" applyBorder="1" applyAlignment="1">
      <alignment horizontal="left" vertical="center" wrapText="1"/>
    </xf>
    <xf numFmtId="4" fontId="13" fillId="0" borderId="74" xfId="0" applyNumberFormat="1" applyFont="1" applyFill="1" applyBorder="1" applyAlignment="1">
      <alignment horizontal="right" vertical="center"/>
    </xf>
    <xf numFmtId="4" fontId="13" fillId="0" borderId="75" xfId="0" applyNumberFormat="1" applyFont="1" applyFill="1" applyBorder="1" applyAlignment="1">
      <alignment horizontal="right" vertical="center"/>
    </xf>
    <xf numFmtId="4" fontId="13" fillId="0" borderId="76" xfId="0" applyNumberFormat="1" applyFont="1" applyBorder="1" applyAlignment="1">
      <alignment vertical="center"/>
    </xf>
    <xf numFmtId="49" fontId="13" fillId="0" borderId="77" xfId="0" applyNumberFormat="1" applyFont="1" applyFill="1" applyBorder="1" applyAlignment="1">
      <alignment horizontal="center" vertical="center"/>
    </xf>
    <xf numFmtId="49" fontId="13" fillId="0" borderId="78" xfId="0" applyNumberFormat="1" applyFont="1" applyFill="1" applyBorder="1" applyAlignment="1">
      <alignment horizontal="center" vertical="center"/>
    </xf>
    <xf numFmtId="0" fontId="13" fillId="0" borderId="79" xfId="0" applyFont="1" applyFill="1" applyBorder="1" applyAlignment="1">
      <alignment horizontal="left" vertical="center" wrapText="1"/>
    </xf>
    <xf numFmtId="4" fontId="13" fillId="0" borderId="78" xfId="0" applyNumberFormat="1" applyFont="1" applyFill="1" applyBorder="1" applyAlignment="1">
      <alignment horizontal="right" vertical="center"/>
    </xf>
    <xf numFmtId="4" fontId="13" fillId="0" borderId="79" xfId="0" applyNumberFormat="1" applyFont="1" applyFill="1" applyBorder="1" applyAlignment="1">
      <alignment horizontal="right" vertical="center"/>
    </xf>
    <xf numFmtId="49" fontId="13" fillId="0" borderId="24" xfId="0" applyNumberFormat="1" applyFont="1" applyFill="1" applyBorder="1" applyAlignment="1">
      <alignment horizontal="center" vertical="center"/>
    </xf>
    <xf numFmtId="49" fontId="13" fillId="0" borderId="19" xfId="0" applyNumberFormat="1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left" vertical="center" wrapText="1"/>
    </xf>
    <xf numFmtId="4" fontId="13" fillId="0" borderId="19" xfId="0" applyNumberFormat="1" applyFont="1" applyFill="1" applyBorder="1" applyAlignment="1">
      <alignment horizontal="right" vertical="center"/>
    </xf>
    <xf numFmtId="4" fontId="13" fillId="0" borderId="27" xfId="0" applyNumberFormat="1" applyFont="1" applyFill="1" applyBorder="1" applyAlignment="1">
      <alignment horizontal="right" vertical="center"/>
    </xf>
    <xf numFmtId="49" fontId="10" fillId="0" borderId="69" xfId="0" applyNumberFormat="1" applyFont="1" applyFill="1" applyBorder="1" applyAlignment="1">
      <alignment horizontal="center" vertical="center"/>
    </xf>
    <xf numFmtId="49" fontId="10" fillId="0" borderId="70" xfId="0" applyNumberFormat="1" applyFont="1" applyFill="1" applyBorder="1" applyAlignment="1">
      <alignment horizontal="center" vertical="center"/>
    </xf>
    <xf numFmtId="0" fontId="10" fillId="0" borderId="71" xfId="0" applyFont="1" applyFill="1" applyBorder="1" applyAlignment="1">
      <alignment horizontal="left" vertical="center" wrapText="1"/>
    </xf>
    <xf numFmtId="4" fontId="10" fillId="0" borderId="70" xfId="0" applyNumberFormat="1" applyFont="1" applyFill="1" applyBorder="1" applyAlignment="1">
      <alignment horizontal="right" vertical="center"/>
    </xf>
    <xf numFmtId="4" fontId="10" fillId="0" borderId="72" xfId="0" applyNumberFormat="1" applyFont="1" applyFill="1" applyBorder="1" applyAlignment="1">
      <alignment horizontal="right" vertical="center"/>
    </xf>
    <xf numFmtId="49" fontId="10" fillId="0" borderId="15" xfId="0" applyNumberFormat="1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left" vertical="center" wrapText="1"/>
    </xf>
    <xf numFmtId="4" fontId="10" fillId="0" borderId="44" xfId="0" applyNumberFormat="1" applyFont="1" applyFill="1" applyBorder="1" applyAlignment="1">
      <alignment horizontal="right" vertical="center"/>
    </xf>
    <xf numFmtId="4" fontId="11" fillId="36" borderId="15" xfId="0" applyNumberFormat="1" applyFont="1" applyFill="1" applyBorder="1" applyAlignment="1">
      <alignment horizontal="right" vertical="center"/>
    </xf>
    <xf numFmtId="4" fontId="11" fillId="36" borderId="16" xfId="0" applyNumberFormat="1" applyFont="1" applyFill="1" applyBorder="1" applyAlignment="1">
      <alignment horizontal="right" vertical="center"/>
    </xf>
    <xf numFmtId="49" fontId="10" fillId="0" borderId="17" xfId="0" applyNumberFormat="1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left" vertical="center" wrapText="1"/>
    </xf>
    <xf numFmtId="4" fontId="10" fillId="0" borderId="15" xfId="0" applyNumberFormat="1" applyFont="1" applyFill="1" applyBorder="1" applyAlignment="1">
      <alignment horizontal="right" vertical="center"/>
    </xf>
    <xf numFmtId="4" fontId="10" fillId="0" borderId="44" xfId="0" applyNumberFormat="1" applyFont="1" applyFill="1" applyBorder="1" applyAlignment="1">
      <alignment horizontal="right" vertical="center"/>
    </xf>
    <xf numFmtId="4" fontId="10" fillId="0" borderId="16" xfId="0" applyNumberFormat="1" applyFont="1" applyBorder="1" applyAlignment="1">
      <alignment vertical="center"/>
    </xf>
    <xf numFmtId="49" fontId="10" fillId="0" borderId="56" xfId="0" applyNumberFormat="1" applyFont="1" applyFill="1" applyBorder="1" applyAlignment="1">
      <alignment horizontal="center" vertical="center"/>
    </xf>
    <xf numFmtId="49" fontId="10" fillId="0" borderId="30" xfId="0" applyNumberFormat="1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left" vertical="center" wrapText="1"/>
    </xf>
    <xf numFmtId="4" fontId="10" fillId="0" borderId="30" xfId="0" applyNumberFormat="1" applyFont="1" applyFill="1" applyBorder="1" applyAlignment="1">
      <alignment horizontal="right" vertical="center"/>
    </xf>
    <xf numFmtId="4" fontId="10" fillId="0" borderId="29" xfId="0" applyNumberFormat="1" applyFont="1" applyFill="1" applyBorder="1" applyAlignment="1">
      <alignment horizontal="right" vertical="center"/>
    </xf>
    <xf numFmtId="4" fontId="10" fillId="0" borderId="40" xfId="0" applyNumberFormat="1" applyFont="1" applyBorder="1" applyAlignment="1">
      <alignment vertical="center"/>
    </xf>
    <xf numFmtId="4" fontId="11" fillId="37" borderId="30" xfId="0" applyNumberFormat="1" applyFont="1" applyFill="1" applyBorder="1" applyAlignment="1">
      <alignment horizontal="right" vertical="center"/>
    </xf>
    <xf numFmtId="4" fontId="11" fillId="37" borderId="40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0" fillId="0" borderId="0" xfId="0" applyFont="1" applyAlignment="1">
      <alignment horizontal="right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4" fontId="11" fillId="0" borderId="15" xfId="0" applyNumberFormat="1" applyFont="1" applyBorder="1" applyAlignment="1">
      <alignment horizontal="right" vertical="center" wrapText="1"/>
    </xf>
    <xf numFmtId="168" fontId="11" fillId="0" borderId="20" xfId="0" applyNumberFormat="1" applyFont="1" applyBorder="1" applyAlignment="1">
      <alignment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left" vertical="center" wrapText="1"/>
    </xf>
    <xf numFmtId="4" fontId="10" fillId="0" borderId="15" xfId="0" applyNumberFormat="1" applyFont="1" applyBorder="1" applyAlignment="1">
      <alignment horizontal="right" vertical="center" wrapText="1"/>
    </xf>
    <xf numFmtId="4" fontId="11" fillId="0" borderId="19" xfId="0" applyNumberFormat="1" applyFont="1" applyBorder="1" applyAlignment="1">
      <alignment horizontal="right" vertical="center" wrapText="1"/>
    </xf>
    <xf numFmtId="49" fontId="10" fillId="0" borderId="15" xfId="0" applyNumberFormat="1" applyFont="1" applyBorder="1" applyAlignment="1">
      <alignment horizontal="center" vertical="center" wrapText="1"/>
    </xf>
    <xf numFmtId="0" fontId="10" fillId="0" borderId="15" xfId="0" applyFont="1" applyBorder="1" applyAlignment="1">
      <alignment vertical="center" wrapText="1"/>
    </xf>
    <xf numFmtId="168" fontId="10" fillId="0" borderId="16" xfId="0" applyNumberFormat="1" applyFont="1" applyBorder="1" applyAlignment="1">
      <alignment vertical="center" wrapText="1"/>
    </xf>
    <xf numFmtId="49" fontId="10" fillId="0" borderId="19" xfId="0" applyNumberFormat="1" applyFont="1" applyBorder="1" applyAlignment="1">
      <alignment horizontal="center" vertical="center" wrapText="1"/>
    </xf>
    <xf numFmtId="0" fontId="10" fillId="0" borderId="27" xfId="0" applyFont="1" applyBorder="1" applyAlignment="1">
      <alignment vertical="center" wrapText="1"/>
    </xf>
    <xf numFmtId="4" fontId="10" fillId="0" borderId="27" xfId="0" applyNumberFormat="1" applyFont="1" applyBorder="1" applyAlignment="1">
      <alignment horizontal="right" vertical="center" wrapText="1"/>
    </xf>
    <xf numFmtId="4" fontId="10" fillId="0" borderId="19" xfId="0" applyNumberFormat="1" applyFont="1" applyBorder="1" applyAlignment="1">
      <alignment horizontal="right" vertical="center" wrapText="1"/>
    </xf>
    <xf numFmtId="168" fontId="10" fillId="0" borderId="20" xfId="0" applyNumberFormat="1" applyFont="1" applyBorder="1" applyAlignment="1">
      <alignment vertical="center" wrapText="1"/>
    </xf>
    <xf numFmtId="168" fontId="11" fillId="0" borderId="16" xfId="0" applyNumberFormat="1" applyFont="1" applyBorder="1" applyAlignment="1">
      <alignment vertical="center" wrapText="1"/>
    </xf>
    <xf numFmtId="49" fontId="10" fillId="0" borderId="15" xfId="0" applyNumberFormat="1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vertical="center" wrapText="1"/>
    </xf>
    <xf numFmtId="4" fontId="10" fillId="0" borderId="14" xfId="0" applyNumberFormat="1" applyFont="1" applyBorder="1" applyAlignment="1">
      <alignment horizontal="right" vertical="center" wrapText="1"/>
    </xf>
    <xf numFmtId="4" fontId="11" fillId="0" borderId="49" xfId="0" applyNumberFormat="1" applyFont="1" applyBorder="1" applyAlignment="1">
      <alignment horizontal="right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4" fontId="14" fillId="0" borderId="0" xfId="0" applyNumberFormat="1" applyFont="1" applyBorder="1" applyAlignment="1">
      <alignment horizontal="right" vertical="center" wrapText="1"/>
    </xf>
    <xf numFmtId="168" fontId="14" fillId="0" borderId="0" xfId="0" applyNumberFormat="1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49" fontId="14" fillId="0" borderId="0" xfId="0" applyNumberFormat="1" applyFont="1" applyBorder="1" applyAlignment="1">
      <alignment horizontal="right" vertical="center" wrapText="1"/>
    </xf>
    <xf numFmtId="4" fontId="11" fillId="0" borderId="0" xfId="0" applyNumberFormat="1" applyFont="1" applyBorder="1" applyAlignment="1">
      <alignment horizontal="right" vertical="center" wrapText="1"/>
    </xf>
    <xf numFmtId="4" fontId="11" fillId="0" borderId="0" xfId="0" applyNumberFormat="1" applyFont="1" applyAlignment="1">
      <alignment vertical="center" wrapText="1"/>
    </xf>
    <xf numFmtId="4" fontId="10" fillId="0" borderId="0" xfId="0" applyNumberFormat="1" applyFont="1" applyBorder="1" applyAlignment="1">
      <alignment vertical="center" wrapText="1"/>
    </xf>
    <xf numFmtId="0" fontId="11" fillId="0" borderId="0" xfId="59" applyFont="1" applyAlignment="1">
      <alignment horizontal="center" vertical="center"/>
      <protection/>
    </xf>
    <xf numFmtId="0" fontId="11" fillId="0" borderId="0" xfId="59" applyFont="1" applyAlignment="1">
      <alignment vertical="center"/>
      <protection/>
    </xf>
    <xf numFmtId="0" fontId="11" fillId="0" borderId="0" xfId="59" applyFont="1" applyAlignment="1">
      <alignment horizontal="left" vertical="center"/>
      <protection/>
    </xf>
    <xf numFmtId="166" fontId="11" fillId="0" borderId="0" xfId="0" applyNumberFormat="1" applyFont="1" applyFill="1" applyAlignment="1">
      <alignment horizontal="right" vertical="center"/>
    </xf>
    <xf numFmtId="0" fontId="10" fillId="0" borderId="0" xfId="0" applyFont="1" applyAlignment="1">
      <alignment horizontal="right" vertical="center" wrapText="1"/>
    </xf>
    <xf numFmtId="0" fontId="11" fillId="0" borderId="15" xfId="59" applyFont="1" applyBorder="1" applyAlignment="1">
      <alignment horizontal="center" vertical="center"/>
      <protection/>
    </xf>
    <xf numFmtId="4" fontId="40" fillId="0" borderId="0" xfId="59" applyNumberFormat="1" applyFont="1" applyBorder="1" applyAlignment="1">
      <alignment horizontal="center" vertical="center"/>
      <protection/>
    </xf>
    <xf numFmtId="0" fontId="10" fillId="0" borderId="70" xfId="59" applyFont="1" applyBorder="1" applyAlignment="1">
      <alignment horizontal="left" vertical="center" wrapText="1"/>
      <protection/>
    </xf>
    <xf numFmtId="4" fontId="10" fillId="0" borderId="70" xfId="59" applyNumberFormat="1" applyFont="1" applyBorder="1" applyAlignment="1">
      <alignment horizontal="right" vertical="center"/>
      <protection/>
    </xf>
    <xf numFmtId="166" fontId="10" fillId="0" borderId="70" xfId="59" applyNumberFormat="1" applyFont="1" applyBorder="1" applyAlignment="1">
      <alignment vertical="center"/>
      <protection/>
    </xf>
    <xf numFmtId="0" fontId="10" fillId="0" borderId="0" xfId="59" applyFont="1" applyAlignment="1">
      <alignment vertical="center"/>
      <protection/>
    </xf>
    <xf numFmtId="0" fontId="13" fillId="0" borderId="74" xfId="0" applyFont="1" applyBorder="1" applyAlignment="1">
      <alignment horizontal="right"/>
    </xf>
    <xf numFmtId="4" fontId="13" fillId="0" borderId="74" xfId="59" applyNumberFormat="1" applyFont="1" applyBorder="1" applyAlignment="1">
      <alignment horizontal="right" vertical="center"/>
      <protection/>
    </xf>
    <xf numFmtId="166" fontId="13" fillId="0" borderId="74" xfId="59" applyNumberFormat="1" applyFont="1" applyBorder="1" applyAlignment="1">
      <alignment vertical="center"/>
      <protection/>
    </xf>
    <xf numFmtId="0" fontId="13" fillId="0" borderId="19" xfId="59" applyFont="1" applyBorder="1" applyAlignment="1">
      <alignment horizontal="right" vertical="center"/>
      <protection/>
    </xf>
    <xf numFmtId="4" fontId="13" fillId="0" borderId="19" xfId="59" applyNumberFormat="1" applyFont="1" applyBorder="1" applyAlignment="1">
      <alignment horizontal="right" vertical="center"/>
      <protection/>
    </xf>
    <xf numFmtId="166" fontId="13" fillId="0" borderId="19" xfId="59" applyNumberFormat="1" applyFont="1" applyBorder="1" applyAlignment="1">
      <alignment vertical="center"/>
      <protection/>
    </xf>
    <xf numFmtId="0" fontId="10" fillId="0" borderId="70" xfId="59" applyFont="1" applyBorder="1" applyAlignment="1">
      <alignment vertical="center" wrapText="1"/>
      <protection/>
    </xf>
    <xf numFmtId="0" fontId="13" fillId="0" borderId="78" xfId="0" applyFont="1" applyBorder="1" applyAlignment="1">
      <alignment horizontal="right"/>
    </xf>
    <xf numFmtId="4" fontId="13" fillId="0" borderId="78" xfId="59" applyNumberFormat="1" applyFont="1" applyBorder="1" applyAlignment="1">
      <alignment horizontal="right" vertical="center"/>
      <protection/>
    </xf>
    <xf numFmtId="166" fontId="13" fillId="0" borderId="78" xfId="59" applyNumberFormat="1" applyFont="1" applyBorder="1" applyAlignment="1">
      <alignment vertical="center"/>
      <protection/>
    </xf>
    <xf numFmtId="4" fontId="13" fillId="0" borderId="19" xfId="59" applyNumberFormat="1" applyFont="1" applyBorder="1" applyAlignment="1">
      <alignment horizontal="right" vertical="center"/>
      <protection/>
    </xf>
    <xf numFmtId="166" fontId="13" fillId="0" borderId="19" xfId="59" applyNumberFormat="1" applyFont="1" applyBorder="1" applyAlignment="1">
      <alignment vertical="center"/>
      <protection/>
    </xf>
    <xf numFmtId="0" fontId="13" fillId="0" borderId="78" xfId="0" applyFont="1" applyBorder="1" applyAlignment="1">
      <alignment horizontal="right"/>
    </xf>
    <xf numFmtId="4" fontId="13" fillId="0" borderId="78" xfId="59" applyNumberFormat="1" applyFont="1" applyFill="1" applyBorder="1" applyAlignment="1">
      <alignment horizontal="right" vertical="center"/>
      <protection/>
    </xf>
    <xf numFmtId="166" fontId="13" fillId="0" borderId="78" xfId="59" applyNumberFormat="1" applyFont="1" applyBorder="1" applyAlignment="1">
      <alignment vertical="center"/>
      <protection/>
    </xf>
    <xf numFmtId="4" fontId="10" fillId="0" borderId="0" xfId="59" applyNumberFormat="1" applyFont="1" applyBorder="1" applyAlignment="1">
      <alignment horizontal="center" vertical="center"/>
      <protection/>
    </xf>
    <xf numFmtId="4" fontId="13" fillId="0" borderId="19" xfId="59" applyNumberFormat="1" applyFont="1" applyFill="1" applyBorder="1" applyAlignment="1">
      <alignment horizontal="right" vertical="center"/>
      <protection/>
    </xf>
    <xf numFmtId="0" fontId="10" fillId="0" borderId="70" xfId="0" applyFont="1" applyBorder="1" applyAlignment="1">
      <alignment vertical="center"/>
    </xf>
    <xf numFmtId="4" fontId="10" fillId="0" borderId="0" xfId="59" applyNumberFormat="1" applyFont="1" applyBorder="1" applyAlignment="1">
      <alignment horizontal="center" vertical="center"/>
      <protection/>
    </xf>
    <xf numFmtId="0" fontId="10" fillId="0" borderId="0" xfId="59" applyFont="1" applyAlignment="1">
      <alignment vertical="center"/>
      <protection/>
    </xf>
    <xf numFmtId="4" fontId="13" fillId="0" borderId="78" xfId="59" applyNumberFormat="1" applyFont="1" applyBorder="1" applyAlignment="1">
      <alignment horizontal="right" vertical="center"/>
      <protection/>
    </xf>
    <xf numFmtId="49" fontId="10" fillId="0" borderId="70" xfId="0" applyNumberFormat="1" applyFont="1" applyBorder="1" applyAlignment="1">
      <alignment vertical="center" wrapText="1"/>
    </xf>
    <xf numFmtId="166" fontId="13" fillId="0" borderId="78" xfId="59" applyNumberFormat="1" applyFont="1" applyFill="1" applyBorder="1" applyAlignment="1">
      <alignment vertical="center"/>
      <protection/>
    </xf>
    <xf numFmtId="166" fontId="13" fillId="0" borderId="19" xfId="59" applyNumberFormat="1" applyFont="1" applyFill="1" applyBorder="1" applyAlignment="1">
      <alignment vertical="center"/>
      <protection/>
    </xf>
    <xf numFmtId="0" fontId="10" fillId="0" borderId="15" xfId="59" applyFont="1" applyBorder="1" applyAlignment="1">
      <alignment horizontal="center" vertical="center"/>
      <protection/>
    </xf>
    <xf numFmtId="4" fontId="10" fillId="0" borderId="74" xfId="59" applyNumberFormat="1" applyFont="1" applyBorder="1" applyAlignment="1">
      <alignment horizontal="right" vertical="center"/>
      <protection/>
    </xf>
    <xf numFmtId="166" fontId="10" fillId="0" borderId="74" xfId="59" applyNumberFormat="1" applyFont="1" applyBorder="1" applyAlignment="1">
      <alignment vertical="center"/>
      <protection/>
    </xf>
    <xf numFmtId="4" fontId="10" fillId="0" borderId="0" xfId="59" applyNumberFormat="1" applyFont="1" applyAlignment="1">
      <alignment horizontal="center" vertical="center"/>
      <protection/>
    </xf>
    <xf numFmtId="0" fontId="13" fillId="0" borderId="74" xfId="0" applyFont="1" applyBorder="1" applyAlignment="1">
      <alignment horizontal="right"/>
    </xf>
    <xf numFmtId="166" fontId="13" fillId="0" borderId="74" xfId="59" applyNumberFormat="1" applyFont="1" applyBorder="1" applyAlignment="1">
      <alignment vertical="center"/>
      <protection/>
    </xf>
    <xf numFmtId="4" fontId="13" fillId="0" borderId="0" xfId="59" applyNumberFormat="1" applyFont="1" applyBorder="1" applyAlignment="1">
      <alignment horizontal="center" vertical="center"/>
      <protection/>
    </xf>
    <xf numFmtId="4" fontId="13" fillId="0" borderId="0" xfId="59" applyNumberFormat="1" applyFont="1" applyAlignment="1">
      <alignment horizontal="center" vertical="center"/>
      <protection/>
    </xf>
    <xf numFmtId="0" fontId="13" fillId="0" borderId="0" xfId="59" applyFont="1" applyAlignment="1">
      <alignment vertical="center"/>
      <protection/>
    </xf>
    <xf numFmtId="4" fontId="11" fillId="37" borderId="15" xfId="59" applyNumberFormat="1" applyFont="1" applyFill="1" applyBorder="1" applyAlignment="1">
      <alignment horizontal="right" vertical="center"/>
      <protection/>
    </xf>
    <xf numFmtId="166" fontId="11" fillId="37" borderId="15" xfId="59" applyNumberFormat="1" applyFont="1" applyFill="1" applyBorder="1" applyAlignment="1">
      <alignment vertical="center"/>
      <protection/>
    </xf>
    <xf numFmtId="0" fontId="0" fillId="37" borderId="45" xfId="0" applyFont="1" applyFill="1" applyBorder="1" applyAlignment="1">
      <alignment horizontal="center" vertical="center"/>
    </xf>
    <xf numFmtId="4" fontId="11" fillId="37" borderId="0" xfId="59" applyNumberFormat="1" applyFont="1" applyFill="1" applyAlignment="1">
      <alignment horizontal="center" vertical="center"/>
      <protection/>
    </xf>
    <xf numFmtId="0" fontId="11" fillId="37" borderId="0" xfId="59" applyFont="1" applyFill="1" applyAlignment="1">
      <alignment horizontal="center" vertical="center"/>
      <protection/>
    </xf>
    <xf numFmtId="49" fontId="10" fillId="0" borderId="15" xfId="59" applyNumberFormat="1" applyFont="1" applyBorder="1" applyAlignment="1">
      <alignment horizontal="center" vertical="center"/>
      <protection/>
    </xf>
    <xf numFmtId="4" fontId="11" fillId="37" borderId="15" xfId="59" applyNumberFormat="1" applyFont="1" applyFill="1" applyBorder="1" applyAlignment="1">
      <alignment vertical="center"/>
      <protection/>
    </xf>
    <xf numFmtId="4" fontId="11" fillId="37" borderId="0" xfId="59" applyNumberFormat="1" applyFont="1" applyFill="1" applyAlignment="1">
      <alignment vertical="center"/>
      <protection/>
    </xf>
    <xf numFmtId="0" fontId="11" fillId="37" borderId="0" xfId="59" applyFont="1" applyFill="1" applyAlignment="1">
      <alignment vertical="center"/>
      <protection/>
    </xf>
    <xf numFmtId="0" fontId="10" fillId="0" borderId="70" xfId="59" applyFont="1" applyBorder="1" applyAlignment="1">
      <alignment horizontal="left" vertical="center"/>
      <protection/>
    </xf>
    <xf numFmtId="0" fontId="10" fillId="0" borderId="0" xfId="59" applyFont="1" applyAlignment="1">
      <alignment horizontal="center" vertical="center"/>
      <protection/>
    </xf>
    <xf numFmtId="0" fontId="10" fillId="0" borderId="0" xfId="59" applyFont="1" applyAlignment="1">
      <alignment horizontal="right" vertical="center"/>
      <protection/>
    </xf>
    <xf numFmtId="166" fontId="10" fillId="0" borderId="0" xfId="59" applyNumberFormat="1" applyFont="1" applyAlignment="1">
      <alignment vertical="center"/>
      <protection/>
    </xf>
    <xf numFmtId="4" fontId="10" fillId="0" borderId="0" xfId="59" applyNumberFormat="1" applyFont="1" applyAlignment="1">
      <alignment vertical="center"/>
      <protection/>
    </xf>
    <xf numFmtId="0" fontId="51" fillId="0" borderId="0" xfId="59" applyFont="1" applyAlignment="1">
      <alignment horizontal="center" vertical="center"/>
      <protection/>
    </xf>
    <xf numFmtId="0" fontId="51" fillId="0" borderId="0" xfId="59" applyFont="1" applyAlignment="1">
      <alignment vertical="center"/>
      <protection/>
    </xf>
    <xf numFmtId="0" fontId="51" fillId="0" borderId="0" xfId="59" applyFont="1" applyAlignment="1">
      <alignment horizontal="right" vertical="center"/>
      <protection/>
    </xf>
    <xf numFmtId="4" fontId="51" fillId="0" borderId="0" xfId="59" applyNumberFormat="1" applyFont="1" applyAlignment="1">
      <alignment vertical="center"/>
      <protection/>
    </xf>
    <xf numFmtId="166" fontId="51" fillId="0" borderId="0" xfId="59" applyNumberFormat="1" applyFont="1" applyAlignment="1">
      <alignment vertical="center"/>
      <protection/>
    </xf>
    <xf numFmtId="49" fontId="13" fillId="0" borderId="19" xfId="0" applyNumberFormat="1" applyFont="1" applyBorder="1" applyAlignment="1">
      <alignment horizontal="center" vertical="center" wrapText="1"/>
    </xf>
    <xf numFmtId="0" fontId="13" fillId="0" borderId="27" xfId="0" applyFont="1" applyBorder="1" applyAlignment="1">
      <alignment vertical="center" wrapText="1"/>
    </xf>
    <xf numFmtId="4" fontId="13" fillId="0" borderId="27" xfId="0" applyNumberFormat="1" applyFont="1" applyBorder="1" applyAlignment="1">
      <alignment horizontal="right" vertical="center" wrapText="1"/>
    </xf>
    <xf numFmtId="168" fontId="13" fillId="0" borderId="20" xfId="0" applyNumberFormat="1" applyFont="1" applyBorder="1" applyAlignment="1">
      <alignment vertical="center" wrapText="1"/>
    </xf>
    <xf numFmtId="4" fontId="13" fillId="0" borderId="0" xfId="0" applyNumberFormat="1" applyFont="1" applyBorder="1" applyAlignment="1">
      <alignment vertical="center" wrapText="1"/>
    </xf>
    <xf numFmtId="0" fontId="13" fillId="0" borderId="13" xfId="0" applyFont="1" applyBorder="1" applyAlignment="1">
      <alignment horizontal="center" vertical="center" wrapText="1"/>
    </xf>
    <xf numFmtId="0" fontId="10" fillId="0" borderId="80" xfId="0" applyFont="1" applyBorder="1" applyAlignment="1">
      <alignment horizontal="center" vertical="center" wrapText="1"/>
    </xf>
    <xf numFmtId="49" fontId="10" fillId="0" borderId="70" xfId="0" applyNumberFormat="1" applyFont="1" applyBorder="1" applyAlignment="1">
      <alignment horizontal="center" vertical="center" wrapText="1"/>
    </xf>
    <xf numFmtId="0" fontId="10" fillId="0" borderId="70" xfId="0" applyFont="1" applyBorder="1" applyAlignment="1">
      <alignment vertical="center" wrapText="1"/>
    </xf>
    <xf numFmtId="4" fontId="10" fillId="0" borderId="71" xfId="0" applyNumberFormat="1" applyFont="1" applyBorder="1" applyAlignment="1">
      <alignment horizontal="right" vertical="center" wrapText="1"/>
    </xf>
    <xf numFmtId="168" fontId="10" fillId="0" borderId="72" xfId="0" applyNumberFormat="1" applyFont="1" applyBorder="1" applyAlignment="1">
      <alignment vertical="center" wrapText="1"/>
    </xf>
    <xf numFmtId="0" fontId="10" fillId="0" borderId="69" xfId="0" applyFont="1" applyBorder="1" applyAlignment="1">
      <alignment horizontal="center" vertical="center" wrapText="1"/>
    </xf>
    <xf numFmtId="0" fontId="10" fillId="0" borderId="71" xfId="0" applyFont="1" applyBorder="1" applyAlignment="1">
      <alignment vertical="center" wrapText="1"/>
    </xf>
    <xf numFmtId="4" fontId="10" fillId="0" borderId="70" xfId="0" applyNumberFormat="1" applyFont="1" applyBorder="1" applyAlignment="1">
      <alignment horizontal="right" vertical="center" wrapText="1"/>
    </xf>
    <xf numFmtId="0" fontId="13" fillId="0" borderId="24" xfId="0" applyFont="1" applyBorder="1" applyAlignment="1">
      <alignment horizontal="center" vertical="center" wrapText="1"/>
    </xf>
    <xf numFmtId="4" fontId="13" fillId="0" borderId="19" xfId="0" applyNumberFormat="1" applyFont="1" applyBorder="1" applyAlignment="1">
      <alignment horizontal="right" vertical="center" wrapText="1"/>
    </xf>
    <xf numFmtId="0" fontId="13" fillId="0" borderId="17" xfId="0" applyFont="1" applyBorder="1" applyAlignment="1">
      <alignment horizontal="center" vertical="center" wrapText="1"/>
    </xf>
    <xf numFmtId="49" fontId="13" fillId="0" borderId="15" xfId="0" applyNumberFormat="1" applyFont="1" applyBorder="1" applyAlignment="1">
      <alignment horizontal="center" vertical="center" wrapText="1"/>
    </xf>
    <xf numFmtId="0" fontId="13" fillId="0" borderId="15" xfId="0" applyFont="1" applyBorder="1" applyAlignment="1">
      <alignment vertical="center" wrapText="1"/>
    </xf>
    <xf numFmtId="4" fontId="13" fillId="0" borderId="15" xfId="0" applyNumberFormat="1" applyFont="1" applyBorder="1" applyAlignment="1">
      <alignment horizontal="right" vertical="center" wrapText="1"/>
    </xf>
    <xf numFmtId="168" fontId="13" fillId="0" borderId="16" xfId="0" applyNumberFormat="1" applyFont="1" applyBorder="1" applyAlignment="1">
      <alignment vertical="center" wrapText="1"/>
    </xf>
    <xf numFmtId="49" fontId="13" fillId="0" borderId="15" xfId="0" applyNumberFormat="1" applyFont="1" applyBorder="1" applyAlignment="1">
      <alignment vertical="center" wrapText="1"/>
    </xf>
    <xf numFmtId="0" fontId="11" fillId="35" borderId="51" xfId="0" applyFont="1" applyFill="1" applyBorder="1" applyAlignment="1">
      <alignment horizontal="center" vertical="center"/>
    </xf>
    <xf numFmtId="168" fontId="11" fillId="35" borderId="34" xfId="0" applyNumberFormat="1" applyFont="1" applyFill="1" applyBorder="1" applyAlignment="1">
      <alignment horizontal="center" vertical="center"/>
    </xf>
    <xf numFmtId="0" fontId="11" fillId="35" borderId="81" xfId="0" applyFont="1" applyFill="1" applyBorder="1" applyAlignment="1">
      <alignment horizontal="center" vertical="center"/>
    </xf>
    <xf numFmtId="0" fontId="11" fillId="35" borderId="52" xfId="0" applyFont="1" applyFill="1" applyBorder="1" applyAlignment="1">
      <alignment horizontal="center" vertical="center"/>
    </xf>
    <xf numFmtId="3" fontId="11" fillId="35" borderId="53" xfId="0" applyNumberFormat="1" applyFont="1" applyFill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49" fontId="13" fillId="0" borderId="14" xfId="0" applyNumberFormat="1" applyFont="1" applyBorder="1" applyAlignment="1">
      <alignment vertical="center" wrapText="1"/>
    </xf>
    <xf numFmtId="4" fontId="13" fillId="0" borderId="14" xfId="0" applyNumberFormat="1" applyFont="1" applyBorder="1" applyAlignment="1">
      <alignment horizontal="right" vertical="center"/>
    </xf>
    <xf numFmtId="168" fontId="13" fillId="0" borderId="41" xfId="0" applyNumberFormat="1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Fill="1" applyBorder="1" applyAlignment="1">
      <alignment vertical="center" wrapText="1"/>
    </xf>
    <xf numFmtId="4" fontId="10" fillId="0" borderId="14" xfId="0" applyNumberFormat="1" applyFont="1" applyBorder="1" applyAlignment="1">
      <alignment horizontal="right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vertical="center" wrapText="1"/>
    </xf>
    <xf numFmtId="4" fontId="10" fillId="0" borderId="29" xfId="0" applyNumberFormat="1" applyFont="1" applyBorder="1" applyAlignment="1">
      <alignment horizontal="right" vertical="center"/>
    </xf>
    <xf numFmtId="168" fontId="10" fillId="0" borderId="40" xfId="0" applyNumberFormat="1" applyFont="1" applyBorder="1" applyAlignment="1">
      <alignment vertical="center"/>
    </xf>
    <xf numFmtId="0" fontId="11" fillId="36" borderId="54" xfId="0" applyFont="1" applyFill="1" applyBorder="1" applyAlignment="1">
      <alignment vertical="center" wrapText="1"/>
    </xf>
    <xf numFmtId="4" fontId="11" fillId="36" borderId="54" xfId="0" applyNumberFormat="1" applyFont="1" applyFill="1" applyBorder="1" applyAlignment="1">
      <alignment horizontal="right" vertical="center"/>
    </xf>
    <xf numFmtId="0" fontId="11" fillId="36" borderId="22" xfId="0" applyFont="1" applyFill="1" applyBorder="1" applyAlignment="1">
      <alignment horizontal="center" vertical="center"/>
    </xf>
    <xf numFmtId="0" fontId="11" fillId="36" borderId="27" xfId="0" applyFont="1" applyFill="1" applyBorder="1" applyAlignment="1">
      <alignment vertical="center"/>
    </xf>
    <xf numFmtId="4" fontId="11" fillId="36" borderId="27" xfId="0" applyNumberFormat="1" applyFont="1" applyFill="1" applyBorder="1" applyAlignment="1">
      <alignment horizontal="right" vertical="center"/>
    </xf>
    <xf numFmtId="4" fontId="11" fillId="37" borderId="57" xfId="0" applyNumberFormat="1" applyFont="1" applyFill="1" applyBorder="1" applyAlignment="1">
      <alignment horizontal="right" vertical="center"/>
    </xf>
    <xf numFmtId="0" fontId="11" fillId="36" borderId="54" xfId="0" applyFont="1" applyFill="1" applyBorder="1" applyAlignment="1">
      <alignment vertical="center"/>
    </xf>
    <xf numFmtId="0" fontId="10" fillId="0" borderId="27" xfId="0" applyFont="1" applyBorder="1" applyAlignment="1">
      <alignment vertical="center"/>
    </xf>
    <xf numFmtId="4" fontId="10" fillId="0" borderId="27" xfId="0" applyNumberFormat="1" applyFont="1" applyBorder="1" applyAlignment="1">
      <alignment horizontal="right" vertical="center"/>
    </xf>
    <xf numFmtId="0" fontId="11" fillId="36" borderId="29" xfId="0" applyFont="1" applyFill="1" applyBorder="1" applyAlignment="1">
      <alignment vertical="center" wrapText="1"/>
    </xf>
    <xf numFmtId="4" fontId="11" fillId="36" borderId="14" xfId="0" applyNumberFormat="1" applyFont="1" applyFill="1" applyBorder="1" applyAlignment="1">
      <alignment horizontal="right" vertical="center"/>
    </xf>
    <xf numFmtId="166" fontId="11" fillId="37" borderId="58" xfId="0" applyNumberFormat="1" applyFont="1" applyFill="1" applyBorder="1" applyAlignment="1">
      <alignment vertical="center"/>
    </xf>
    <xf numFmtId="168" fontId="10" fillId="0" borderId="41" xfId="0" applyNumberFormat="1" applyFont="1" applyBorder="1" applyAlignment="1">
      <alignment horizontal="right" vertical="center"/>
    </xf>
    <xf numFmtId="0" fontId="10" fillId="0" borderId="29" xfId="0" applyFont="1" applyBorder="1" applyAlignment="1">
      <alignment vertical="center"/>
    </xf>
    <xf numFmtId="168" fontId="10" fillId="0" borderId="40" xfId="0" applyNumberFormat="1" applyFont="1" applyBorder="1" applyAlignment="1">
      <alignment horizontal="right" vertical="center"/>
    </xf>
    <xf numFmtId="4" fontId="11" fillId="37" borderId="29" xfId="0" applyNumberFormat="1" applyFont="1" applyFill="1" applyBorder="1" applyAlignment="1">
      <alignment horizontal="right" vertical="center"/>
    </xf>
    <xf numFmtId="168" fontId="10" fillId="0" borderId="20" xfId="0" applyNumberFormat="1" applyFont="1" applyBorder="1" applyAlignment="1">
      <alignment horizontal="right" vertical="center"/>
    </xf>
    <xf numFmtId="0" fontId="11" fillId="36" borderId="56" xfId="0" applyFont="1" applyFill="1" applyBorder="1" applyAlignment="1">
      <alignment horizontal="center" vertical="center"/>
    </xf>
    <xf numFmtId="4" fontId="11" fillId="36" borderId="30" xfId="0" applyNumberFormat="1" applyFont="1" applyFill="1" applyBorder="1" applyAlignment="1">
      <alignment horizontal="right" vertical="center"/>
    </xf>
    <xf numFmtId="4" fontId="11" fillId="37" borderId="62" xfId="0" applyNumberFormat="1" applyFont="1" applyFill="1" applyBorder="1" applyAlignment="1">
      <alignment horizontal="right" vertical="center"/>
    </xf>
    <xf numFmtId="164" fontId="10" fillId="0" borderId="0" xfId="0" applyNumberFormat="1" applyFont="1" applyAlignment="1">
      <alignment horizontal="right" vertical="center"/>
    </xf>
    <xf numFmtId="168" fontId="10" fillId="0" borderId="0" xfId="0" applyNumberFormat="1" applyFont="1" applyAlignment="1">
      <alignment horizontal="right" vertical="center"/>
    </xf>
    <xf numFmtId="164" fontId="11" fillId="35" borderId="54" xfId="0" applyNumberFormat="1" applyFont="1" applyFill="1" applyBorder="1" applyAlignment="1">
      <alignment horizontal="center" vertical="center"/>
    </xf>
    <xf numFmtId="0" fontId="11" fillId="35" borderId="82" xfId="0" applyFont="1" applyFill="1" applyBorder="1" applyAlignment="1">
      <alignment horizontal="center" vertical="center"/>
    </xf>
    <xf numFmtId="0" fontId="11" fillId="35" borderId="55" xfId="0" applyFont="1" applyFill="1" applyBorder="1" applyAlignment="1">
      <alignment horizontal="center" vertical="center"/>
    </xf>
    <xf numFmtId="164" fontId="11" fillId="35" borderId="55" xfId="0" applyNumberFormat="1" applyFont="1" applyFill="1" applyBorder="1" applyAlignment="1">
      <alignment horizontal="center" vertical="center"/>
    </xf>
    <xf numFmtId="3" fontId="11" fillId="35" borderId="50" xfId="0" applyNumberFormat="1" applyFont="1" applyFill="1" applyBorder="1" applyAlignment="1">
      <alignment horizontal="center" vertical="center"/>
    </xf>
    <xf numFmtId="49" fontId="13" fillId="0" borderId="14" xfId="0" applyNumberFormat="1" applyFont="1" applyBorder="1" applyAlignment="1">
      <alignment vertical="center"/>
    </xf>
    <xf numFmtId="168" fontId="13" fillId="0" borderId="41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vertical="center"/>
    </xf>
    <xf numFmtId="0" fontId="11" fillId="36" borderId="44" xfId="0" applyFont="1" applyFill="1" applyBorder="1" applyAlignment="1">
      <alignment vertical="center"/>
    </xf>
    <xf numFmtId="4" fontId="11" fillId="36" borderId="44" xfId="0" applyNumberFormat="1" applyFont="1" applyFill="1" applyBorder="1" applyAlignment="1">
      <alignment horizontal="right" vertical="center"/>
    </xf>
    <xf numFmtId="168" fontId="11" fillId="36" borderId="16" xfId="0" applyNumberFormat="1" applyFont="1" applyFill="1" applyBorder="1" applyAlignment="1">
      <alignment horizontal="right" vertical="center"/>
    </xf>
    <xf numFmtId="168" fontId="11" fillId="37" borderId="58" xfId="0" applyNumberFormat="1" applyFont="1" applyFill="1" applyBorder="1" applyAlignment="1">
      <alignment horizontal="right" vertical="center"/>
    </xf>
    <xf numFmtId="0" fontId="10" fillId="0" borderId="13" xfId="0" applyFont="1" applyBorder="1" applyAlignment="1">
      <alignment horizontal="center" vertical="center"/>
    </xf>
    <xf numFmtId="49" fontId="10" fillId="0" borderId="14" xfId="0" applyNumberFormat="1" applyFont="1" applyBorder="1" applyAlignment="1">
      <alignment vertical="center"/>
    </xf>
    <xf numFmtId="4" fontId="10" fillId="0" borderId="14" xfId="0" applyNumberFormat="1" applyFont="1" applyBorder="1" applyAlignment="1">
      <alignment horizontal="right" vertical="center"/>
    </xf>
    <xf numFmtId="168" fontId="10" fillId="0" borderId="41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49" fontId="10" fillId="0" borderId="14" xfId="0" applyNumberFormat="1" applyFont="1" applyBorder="1" applyAlignment="1">
      <alignment vertical="center" wrapText="1"/>
    </xf>
    <xf numFmtId="0" fontId="50" fillId="36" borderId="13" xfId="0" applyFont="1" applyFill="1" applyBorder="1" applyAlignment="1">
      <alignment horizontal="center" vertical="center"/>
    </xf>
    <xf numFmtId="0" fontId="50" fillId="36" borderId="29" xfId="0" applyFont="1" applyFill="1" applyBorder="1" applyAlignment="1">
      <alignment vertical="center" wrapText="1"/>
    </xf>
    <xf numFmtId="4" fontId="50" fillId="36" borderId="14" xfId="0" applyNumberFormat="1" applyFont="1" applyFill="1" applyBorder="1" applyAlignment="1">
      <alignment horizontal="right" vertical="center"/>
    </xf>
    <xf numFmtId="168" fontId="50" fillId="36" borderId="41" xfId="0" applyNumberFormat="1" applyFont="1" applyFill="1" applyBorder="1" applyAlignment="1">
      <alignment horizontal="center" vertical="center"/>
    </xf>
    <xf numFmtId="0" fontId="50" fillId="0" borderId="0" xfId="0" applyFont="1" applyBorder="1" applyAlignment="1">
      <alignment vertical="center"/>
    </xf>
    <xf numFmtId="4" fontId="50" fillId="37" borderId="57" xfId="0" applyNumberFormat="1" applyFont="1" applyFill="1" applyBorder="1" applyAlignment="1">
      <alignment horizontal="right" vertical="center"/>
    </xf>
    <xf numFmtId="168" fontId="50" fillId="37" borderId="58" xfId="0" applyNumberFormat="1" applyFont="1" applyFill="1" applyBorder="1" applyAlignment="1">
      <alignment horizontal="right" vertical="center"/>
    </xf>
    <xf numFmtId="0" fontId="10" fillId="0" borderId="0" xfId="62" applyFont="1" applyAlignment="1">
      <alignment horizontal="center" vertical="center" wrapText="1"/>
      <protection/>
    </xf>
    <xf numFmtId="0" fontId="10" fillId="0" borderId="0" xfId="62" applyFont="1" applyAlignment="1">
      <alignment vertical="center" wrapText="1"/>
      <protection/>
    </xf>
    <xf numFmtId="43" fontId="10" fillId="0" borderId="0" xfId="44" applyFont="1" applyAlignment="1">
      <alignment vertical="center" wrapText="1"/>
    </xf>
    <xf numFmtId="43" fontId="10" fillId="0" borderId="0" xfId="44" applyFont="1" applyAlignment="1">
      <alignment horizontal="right" vertical="center" wrapText="1"/>
    </xf>
    <xf numFmtId="0" fontId="11" fillId="35" borderId="31" xfId="62" applyFont="1" applyFill="1" applyBorder="1" applyAlignment="1">
      <alignment horizontal="center" vertical="center" wrapText="1"/>
      <protection/>
    </xf>
    <xf numFmtId="0" fontId="11" fillId="35" borderId="32" xfId="62" applyFont="1" applyFill="1" applyBorder="1" applyAlignment="1">
      <alignment horizontal="center" vertical="center" wrapText="1"/>
      <protection/>
    </xf>
    <xf numFmtId="43" fontId="11" fillId="35" borderId="32" xfId="44" applyFont="1" applyFill="1" applyBorder="1" applyAlignment="1">
      <alignment horizontal="center" vertical="center" wrapText="1"/>
    </xf>
    <xf numFmtId="43" fontId="11" fillId="35" borderId="54" xfId="44" applyFont="1" applyFill="1" applyBorder="1" applyAlignment="1">
      <alignment horizontal="center" vertical="center" wrapText="1"/>
    </xf>
    <xf numFmtId="0" fontId="11" fillId="35" borderId="34" xfId="62" applyFont="1" applyFill="1" applyBorder="1" applyAlignment="1">
      <alignment horizontal="center" vertical="center" wrapText="1"/>
      <protection/>
    </xf>
    <xf numFmtId="1" fontId="11" fillId="35" borderId="56" xfId="62" applyNumberFormat="1" applyFont="1" applyFill="1" applyBorder="1" applyAlignment="1">
      <alignment horizontal="center" vertical="center" wrapText="1"/>
      <protection/>
    </xf>
    <xf numFmtId="1" fontId="11" fillId="35" borderId="30" xfId="62" applyNumberFormat="1" applyFont="1" applyFill="1" applyBorder="1" applyAlignment="1">
      <alignment horizontal="center" vertical="center" wrapText="1"/>
      <protection/>
    </xf>
    <xf numFmtId="1" fontId="11" fillId="35" borderId="30" xfId="44" applyNumberFormat="1" applyFont="1" applyFill="1" applyBorder="1" applyAlignment="1">
      <alignment horizontal="center" vertical="center" wrapText="1"/>
    </xf>
    <xf numFmtId="1" fontId="11" fillId="35" borderId="29" xfId="44" applyNumberFormat="1" applyFont="1" applyFill="1" applyBorder="1" applyAlignment="1">
      <alignment horizontal="center" vertical="center" wrapText="1"/>
    </xf>
    <xf numFmtId="1" fontId="11" fillId="35" borderId="40" xfId="62" applyNumberFormat="1" applyFont="1" applyFill="1" applyBorder="1" applyAlignment="1">
      <alignment horizontal="center" vertical="center" wrapText="1"/>
      <protection/>
    </xf>
    <xf numFmtId="1" fontId="10" fillId="0" borderId="0" xfId="62" applyNumberFormat="1" applyFont="1" applyAlignment="1">
      <alignment horizontal="center" vertical="center" wrapText="1"/>
      <protection/>
    </xf>
    <xf numFmtId="0" fontId="11" fillId="36" borderId="31" xfId="62" applyFont="1" applyFill="1" applyBorder="1" applyAlignment="1">
      <alignment horizontal="center" vertical="center" wrapText="1"/>
      <protection/>
    </xf>
    <xf numFmtId="0" fontId="11" fillId="36" borderId="32" xfId="62" applyFont="1" applyFill="1" applyBorder="1" applyAlignment="1">
      <alignment vertical="center" wrapText="1"/>
      <protection/>
    </xf>
    <xf numFmtId="43" fontId="11" fillId="36" borderId="32" xfId="44" applyFont="1" applyFill="1" applyBorder="1" applyAlignment="1">
      <alignment vertical="center" wrapText="1"/>
    </xf>
    <xf numFmtId="43" fontId="11" fillId="36" borderId="54" xfId="44" applyFont="1" applyFill="1" applyBorder="1" applyAlignment="1">
      <alignment vertical="center" wrapText="1"/>
    </xf>
    <xf numFmtId="166" fontId="11" fillId="36" borderId="34" xfId="62" applyNumberFormat="1" applyFont="1" applyFill="1" applyBorder="1" applyAlignment="1">
      <alignment vertical="center" wrapText="1"/>
      <protection/>
    </xf>
    <xf numFmtId="0" fontId="11" fillId="0" borderId="0" xfId="62" applyFont="1" applyAlignment="1">
      <alignment vertical="center" wrapText="1"/>
      <protection/>
    </xf>
    <xf numFmtId="0" fontId="10" fillId="0" borderId="13" xfId="62" applyFont="1" applyBorder="1" applyAlignment="1">
      <alignment horizontal="center" vertical="center" wrapText="1"/>
      <protection/>
    </xf>
    <xf numFmtId="0" fontId="10" fillId="0" borderId="14" xfId="62" applyFont="1" applyBorder="1" applyAlignment="1">
      <alignment vertical="center" wrapText="1"/>
      <protection/>
    </xf>
    <xf numFmtId="43" fontId="10" fillId="0" borderId="14" xfId="44" applyFont="1" applyBorder="1" applyAlignment="1">
      <alignment vertical="center" wrapText="1"/>
    </xf>
    <xf numFmtId="166" fontId="10" fillId="0" borderId="41" xfId="62" applyNumberFormat="1" applyFont="1" applyBorder="1" applyAlignment="1">
      <alignment vertical="center" wrapText="1"/>
      <protection/>
    </xf>
    <xf numFmtId="0" fontId="11" fillId="36" borderId="81" xfId="62" applyFont="1" applyFill="1" applyBorder="1" applyAlignment="1">
      <alignment horizontal="center" vertical="center" wrapText="1"/>
      <protection/>
    </xf>
    <xf numFmtId="0" fontId="11" fillId="36" borderId="52" xfId="62" applyFont="1" applyFill="1" applyBorder="1" applyAlignment="1">
      <alignment vertical="center" wrapText="1"/>
      <protection/>
    </xf>
    <xf numFmtId="43" fontId="11" fillId="36" borderId="52" xfId="44" applyFont="1" applyFill="1" applyBorder="1" applyAlignment="1">
      <alignment vertical="center" wrapText="1"/>
    </xf>
    <xf numFmtId="166" fontId="11" fillId="36" borderId="53" xfId="62" applyNumberFormat="1" applyFont="1" applyFill="1" applyBorder="1" applyAlignment="1">
      <alignment vertical="center" wrapText="1"/>
      <protection/>
    </xf>
    <xf numFmtId="0" fontId="10" fillId="0" borderId="24" xfId="62" applyFont="1" applyBorder="1" applyAlignment="1">
      <alignment horizontal="center" vertical="center" wrapText="1"/>
      <protection/>
    </xf>
    <xf numFmtId="0" fontId="10" fillId="0" borderId="27" xfId="62" applyFont="1" applyBorder="1" applyAlignment="1">
      <alignment vertical="center" wrapText="1"/>
      <protection/>
    </xf>
    <xf numFmtId="43" fontId="10" fillId="0" borderId="27" xfId="44" applyFont="1" applyBorder="1" applyAlignment="1">
      <alignment vertical="center" wrapText="1"/>
    </xf>
    <xf numFmtId="166" fontId="10" fillId="0" borderId="20" xfId="62" applyNumberFormat="1" applyFont="1" applyBorder="1" applyAlignment="1">
      <alignment vertical="center" wrapText="1"/>
      <protection/>
    </xf>
    <xf numFmtId="0" fontId="11" fillId="36" borderId="13" xfId="62" applyFont="1" applyFill="1" applyBorder="1" applyAlignment="1">
      <alignment horizontal="center" vertical="center" wrapText="1"/>
      <protection/>
    </xf>
    <xf numFmtId="0" fontId="11" fillId="36" borderId="14" xfId="62" applyFont="1" applyFill="1" applyBorder="1" applyAlignment="1">
      <alignment vertical="center" wrapText="1"/>
      <protection/>
    </xf>
    <xf numFmtId="43" fontId="11" fillId="36" borderId="14" xfId="44" applyFont="1" applyFill="1" applyBorder="1" applyAlignment="1">
      <alignment vertical="center" wrapText="1"/>
    </xf>
    <xf numFmtId="166" fontId="11" fillId="36" borderId="41" xfId="62" applyNumberFormat="1" applyFont="1" applyFill="1" applyBorder="1" applyAlignment="1">
      <alignment vertical="center" wrapText="1"/>
      <protection/>
    </xf>
    <xf numFmtId="43" fontId="10" fillId="0" borderId="10" xfId="44" applyFont="1" applyBorder="1" applyAlignment="1">
      <alignment vertical="center" wrapText="1"/>
    </xf>
    <xf numFmtId="0" fontId="18" fillId="0" borderId="14" xfId="62" applyFont="1" applyBorder="1" applyAlignment="1">
      <alignment vertical="center"/>
      <protection/>
    </xf>
    <xf numFmtId="0" fontId="10" fillId="0" borderId="10" xfId="62" applyFont="1" applyBorder="1" applyAlignment="1">
      <alignment vertical="center" wrapText="1"/>
      <protection/>
    </xf>
    <xf numFmtId="43" fontId="10" fillId="0" borderId="19" xfId="44" applyFont="1" applyBorder="1" applyAlignment="1">
      <alignment vertical="center" wrapText="1"/>
    </xf>
    <xf numFmtId="0" fontId="10" fillId="0" borderId="22" xfId="62" applyFont="1" applyBorder="1" applyAlignment="1">
      <alignment horizontal="center" vertical="center" wrapText="1"/>
      <protection/>
    </xf>
    <xf numFmtId="0" fontId="11" fillId="36" borderId="18" xfId="62" applyFont="1" applyFill="1" applyBorder="1" applyAlignment="1">
      <alignment horizontal="center" vertical="center" wrapText="1"/>
      <protection/>
    </xf>
    <xf numFmtId="0" fontId="11" fillId="36" borderId="44" xfId="62" applyFont="1" applyFill="1" applyBorder="1" applyAlignment="1">
      <alignment vertical="center" wrapText="1"/>
      <protection/>
    </xf>
    <xf numFmtId="43" fontId="11" fillId="36" borderId="44" xfId="44" applyFont="1" applyFill="1" applyBorder="1" applyAlignment="1">
      <alignment vertical="center" wrapText="1"/>
    </xf>
    <xf numFmtId="166" fontId="11" fillId="36" borderId="16" xfId="62" applyNumberFormat="1" applyFont="1" applyFill="1" applyBorder="1" applyAlignment="1">
      <alignment vertical="center" wrapText="1"/>
      <protection/>
    </xf>
    <xf numFmtId="43" fontId="11" fillId="0" borderId="0" xfId="62" applyNumberFormat="1" applyFont="1" applyAlignment="1">
      <alignment vertical="center" wrapText="1"/>
      <protection/>
    </xf>
    <xf numFmtId="43" fontId="10" fillId="0" borderId="27" xfId="44" applyFont="1" applyBorder="1" applyAlignment="1">
      <alignment horizontal="right" vertical="center" wrapText="1"/>
    </xf>
    <xf numFmtId="0" fontId="11" fillId="36" borderId="17" xfId="62" applyFont="1" applyFill="1" applyBorder="1" applyAlignment="1">
      <alignment horizontal="center" vertical="center" wrapText="1"/>
      <protection/>
    </xf>
    <xf numFmtId="0" fontId="11" fillId="36" borderId="15" xfId="62" applyFont="1" applyFill="1" applyBorder="1" applyAlignment="1">
      <alignment vertical="center" wrapText="1"/>
      <protection/>
    </xf>
    <xf numFmtId="43" fontId="11" fillId="36" borderId="15" xfId="44" applyFont="1" applyFill="1" applyBorder="1" applyAlignment="1">
      <alignment vertical="center" wrapText="1"/>
    </xf>
    <xf numFmtId="43" fontId="10" fillId="0" borderId="0" xfId="62" applyNumberFormat="1" applyFont="1" applyAlignment="1">
      <alignment vertical="center" wrapText="1"/>
      <protection/>
    </xf>
    <xf numFmtId="166" fontId="11" fillId="36" borderId="16" xfId="62" applyNumberFormat="1" applyFont="1" applyFill="1" applyBorder="1" applyAlignment="1">
      <alignment horizontal="right" vertical="center" wrapText="1"/>
      <protection/>
    </xf>
    <xf numFmtId="0" fontId="11" fillId="36" borderId="56" xfId="62" applyFont="1" applyFill="1" applyBorder="1" applyAlignment="1">
      <alignment horizontal="center" vertical="center" wrapText="1"/>
      <protection/>
    </xf>
    <xf numFmtId="0" fontId="11" fillId="36" borderId="30" xfId="62" applyFont="1" applyFill="1" applyBorder="1" applyAlignment="1">
      <alignment vertical="center" wrapText="1"/>
      <protection/>
    </xf>
    <xf numFmtId="43" fontId="11" fillId="36" borderId="29" xfId="44" applyFont="1" applyFill="1" applyBorder="1" applyAlignment="1">
      <alignment vertical="center" wrapText="1"/>
    </xf>
    <xf numFmtId="166" fontId="11" fillId="36" borderId="50" xfId="62" applyNumberFormat="1" applyFont="1" applyFill="1" applyBorder="1" applyAlignment="1">
      <alignment horizontal="right" vertical="center" wrapText="1"/>
      <protection/>
    </xf>
    <xf numFmtId="0" fontId="10" fillId="0" borderId="0" xfId="63" applyFont="1" applyAlignment="1">
      <alignment horizontal="center" vertical="center" wrapText="1"/>
      <protection/>
    </xf>
    <xf numFmtId="0" fontId="10" fillId="0" borderId="0" xfId="63" applyFont="1" applyAlignment="1">
      <alignment vertical="center" wrapText="1"/>
      <protection/>
    </xf>
    <xf numFmtId="0" fontId="11" fillId="0" borderId="0" xfId="63" applyFont="1" applyAlignment="1">
      <alignment horizontal="center" vertical="center" wrapText="1"/>
      <protection/>
    </xf>
    <xf numFmtId="0" fontId="11" fillId="35" borderId="51" xfId="63" applyFont="1" applyFill="1" applyBorder="1" applyAlignment="1">
      <alignment horizontal="center" vertical="center" wrapText="1"/>
      <protection/>
    </xf>
    <xf numFmtId="0" fontId="11" fillId="35" borderId="54" xfId="63" applyFont="1" applyFill="1" applyBorder="1" applyAlignment="1">
      <alignment horizontal="center" vertical="center" wrapText="1"/>
      <protection/>
    </xf>
    <xf numFmtId="0" fontId="11" fillId="35" borderId="34" xfId="63" applyFont="1" applyFill="1" applyBorder="1" applyAlignment="1">
      <alignment horizontal="center" vertical="center" wrapText="1"/>
      <protection/>
    </xf>
    <xf numFmtId="1" fontId="11" fillId="35" borderId="28" xfId="63" applyNumberFormat="1" applyFont="1" applyFill="1" applyBorder="1" applyAlignment="1">
      <alignment horizontal="center" vertical="center" wrapText="1"/>
      <protection/>
    </xf>
    <xf numFmtId="1" fontId="11" fillId="35" borderId="29" xfId="63" applyNumberFormat="1" applyFont="1" applyFill="1" applyBorder="1" applyAlignment="1">
      <alignment horizontal="center" vertical="center" wrapText="1"/>
      <protection/>
    </xf>
    <xf numFmtId="1" fontId="11" fillId="35" borderId="40" xfId="63" applyNumberFormat="1" applyFont="1" applyFill="1" applyBorder="1" applyAlignment="1">
      <alignment horizontal="center" vertical="center" wrapText="1"/>
      <protection/>
    </xf>
    <xf numFmtId="1" fontId="11" fillId="0" borderId="0" xfId="63" applyNumberFormat="1" applyFont="1" applyAlignment="1">
      <alignment horizontal="center" vertical="center" wrapText="1"/>
      <protection/>
    </xf>
    <xf numFmtId="0" fontId="11" fillId="36" borderId="22" xfId="63" applyFont="1" applyFill="1" applyBorder="1" applyAlignment="1">
      <alignment horizontal="center" vertical="center" wrapText="1"/>
      <protection/>
    </xf>
    <xf numFmtId="0" fontId="11" fillId="36" borderId="54" xfId="63" applyFont="1" applyFill="1" applyBorder="1" applyAlignment="1">
      <alignment vertical="center" wrapText="1"/>
      <protection/>
    </xf>
    <xf numFmtId="166" fontId="11" fillId="36" borderId="20" xfId="63" applyNumberFormat="1" applyFont="1" applyFill="1" applyBorder="1" applyAlignment="1">
      <alignment vertical="center" wrapText="1"/>
      <protection/>
    </xf>
    <xf numFmtId="0" fontId="11" fillId="0" borderId="0" xfId="63" applyFont="1" applyAlignment="1">
      <alignment vertical="center" wrapText="1"/>
      <protection/>
    </xf>
    <xf numFmtId="0" fontId="11" fillId="36" borderId="81" xfId="63" applyFont="1" applyFill="1" applyBorder="1" applyAlignment="1">
      <alignment horizontal="center" vertical="center" wrapText="1"/>
      <protection/>
    </xf>
    <xf numFmtId="0" fontId="11" fillId="36" borderId="14" xfId="63" applyFont="1" applyFill="1" applyBorder="1" applyAlignment="1">
      <alignment vertical="center" wrapText="1"/>
      <protection/>
    </xf>
    <xf numFmtId="43" fontId="11" fillId="36" borderId="10" xfId="44" applyFont="1" applyFill="1" applyBorder="1" applyAlignment="1">
      <alignment vertical="center" wrapText="1"/>
    </xf>
    <xf numFmtId="166" fontId="11" fillId="36" borderId="53" xfId="63" applyNumberFormat="1" applyFont="1" applyFill="1" applyBorder="1" applyAlignment="1">
      <alignment vertical="center" wrapText="1"/>
      <protection/>
    </xf>
    <xf numFmtId="0" fontId="10" fillId="0" borderId="13" xfId="63" applyFont="1" applyBorder="1" applyAlignment="1">
      <alignment horizontal="center" vertical="center" wrapText="1"/>
      <protection/>
    </xf>
    <xf numFmtId="0" fontId="10" fillId="0" borderId="14" xfId="63" applyFont="1" applyBorder="1" applyAlignment="1">
      <alignment vertical="center" wrapText="1"/>
      <protection/>
    </xf>
    <xf numFmtId="43" fontId="10" fillId="0" borderId="10" xfId="0" applyNumberFormat="1" applyFont="1" applyBorder="1" applyAlignment="1">
      <alignment/>
    </xf>
    <xf numFmtId="43" fontId="10" fillId="0" borderId="14" xfId="0" applyNumberFormat="1" applyFont="1" applyBorder="1" applyAlignment="1">
      <alignment/>
    </xf>
    <xf numFmtId="166" fontId="10" fillId="0" borderId="41" xfId="63" applyNumberFormat="1" applyFont="1" applyBorder="1" applyAlignment="1">
      <alignment vertical="center" wrapText="1"/>
      <protection/>
    </xf>
    <xf numFmtId="0" fontId="10" fillId="0" borderId="22" xfId="63" applyFont="1" applyBorder="1" applyAlignment="1">
      <alignment horizontal="center" vertical="center" wrapText="1"/>
      <protection/>
    </xf>
    <xf numFmtId="0" fontId="10" fillId="0" borderId="27" xfId="63" applyFont="1" applyBorder="1" applyAlignment="1">
      <alignment vertical="center" wrapText="1"/>
      <protection/>
    </xf>
    <xf numFmtId="43" fontId="10" fillId="0" borderId="19" xfId="0" applyNumberFormat="1" applyFont="1" applyBorder="1" applyAlignment="1">
      <alignment/>
    </xf>
    <xf numFmtId="43" fontId="10" fillId="0" borderId="27" xfId="0" applyNumberFormat="1" applyFont="1" applyBorder="1" applyAlignment="1">
      <alignment/>
    </xf>
    <xf numFmtId="166" fontId="10" fillId="0" borderId="20" xfId="63" applyNumberFormat="1" applyFont="1" applyBorder="1" applyAlignment="1">
      <alignment vertical="center" wrapText="1"/>
      <protection/>
    </xf>
    <xf numFmtId="0" fontId="11" fillId="36" borderId="52" xfId="63" applyFont="1" applyFill="1" applyBorder="1" applyAlignment="1">
      <alignment vertical="center" wrapText="1"/>
      <protection/>
    </xf>
    <xf numFmtId="39" fontId="11" fillId="36" borderId="14" xfId="44" applyNumberFormat="1" applyFont="1" applyFill="1" applyBorder="1" applyAlignment="1">
      <alignment vertical="center" wrapText="1"/>
    </xf>
    <xf numFmtId="39" fontId="10" fillId="0" borderId="14" xfId="44" applyNumberFormat="1" applyFont="1" applyBorder="1" applyAlignment="1">
      <alignment vertical="center" wrapText="1"/>
    </xf>
    <xf numFmtId="39" fontId="10" fillId="0" borderId="27" xfId="44" applyNumberFormat="1" applyFont="1" applyFill="1" applyBorder="1" applyAlignment="1">
      <alignment vertical="center" wrapText="1"/>
    </xf>
    <xf numFmtId="39" fontId="10" fillId="0" borderId="27" xfId="44" applyNumberFormat="1" applyFont="1" applyBorder="1" applyAlignment="1">
      <alignment vertical="center" wrapText="1"/>
    </xf>
    <xf numFmtId="39" fontId="11" fillId="36" borderId="52" xfId="44" applyNumberFormat="1" applyFont="1" applyFill="1" applyBorder="1" applyAlignment="1">
      <alignment vertical="center" wrapText="1"/>
    </xf>
    <xf numFmtId="39" fontId="10" fillId="0" borderId="10" xfId="44" applyNumberFormat="1" applyFont="1" applyBorder="1" applyAlignment="1">
      <alignment vertical="center" wrapText="1"/>
    </xf>
    <xf numFmtId="39" fontId="10" fillId="0" borderId="19" xfId="44" applyNumberFormat="1" applyFont="1" applyBorder="1" applyAlignment="1">
      <alignment vertical="center" wrapText="1"/>
    </xf>
    <xf numFmtId="0" fontId="11" fillId="36" borderId="18" xfId="63" applyFont="1" applyFill="1" applyBorder="1" applyAlignment="1">
      <alignment horizontal="center" vertical="center" wrapText="1"/>
      <protection/>
    </xf>
    <xf numFmtId="0" fontId="11" fillId="36" borderId="44" xfId="63" applyFont="1" applyFill="1" applyBorder="1" applyAlignment="1">
      <alignment vertical="center" wrapText="1"/>
      <protection/>
    </xf>
    <xf numFmtId="39" fontId="11" fillId="36" borderId="44" xfId="44" applyNumberFormat="1" applyFont="1" applyFill="1" applyBorder="1" applyAlignment="1">
      <alignment vertical="center" wrapText="1"/>
    </xf>
    <xf numFmtId="166" fontId="11" fillId="36" borderId="16" xfId="63" applyNumberFormat="1" applyFont="1" applyFill="1" applyBorder="1" applyAlignment="1">
      <alignment vertical="center" wrapText="1"/>
      <protection/>
    </xf>
    <xf numFmtId="0" fontId="11" fillId="36" borderId="27" xfId="63" applyFont="1" applyFill="1" applyBorder="1" applyAlignment="1">
      <alignment vertical="center" wrapText="1"/>
      <protection/>
    </xf>
    <xf numFmtId="39" fontId="11" fillId="36" borderId="27" xfId="44" applyNumberFormat="1" applyFont="1" applyFill="1" applyBorder="1" applyAlignment="1">
      <alignment vertical="center" wrapText="1"/>
    </xf>
    <xf numFmtId="166" fontId="11" fillId="36" borderId="41" xfId="63" applyNumberFormat="1" applyFont="1" applyFill="1" applyBorder="1" applyAlignment="1">
      <alignment vertical="center" wrapText="1"/>
      <protection/>
    </xf>
    <xf numFmtId="0" fontId="11" fillId="36" borderId="17" xfId="63" applyFont="1" applyFill="1" applyBorder="1" applyAlignment="1">
      <alignment horizontal="center" vertical="center" wrapText="1"/>
      <protection/>
    </xf>
    <xf numFmtId="0" fontId="11" fillId="36" borderId="15" xfId="63" applyFont="1" applyFill="1" applyBorder="1" applyAlignment="1">
      <alignment vertical="center" wrapText="1"/>
      <protection/>
    </xf>
    <xf numFmtId="0" fontId="11" fillId="36" borderId="56" xfId="63" applyFont="1" applyFill="1" applyBorder="1" applyAlignment="1">
      <alignment horizontal="center" vertical="center" wrapText="1"/>
      <protection/>
    </xf>
    <xf numFmtId="0" fontId="11" fillId="36" borderId="30" xfId="63" applyFont="1" applyFill="1" applyBorder="1" applyAlignment="1">
      <alignment vertical="center" wrapText="1"/>
      <protection/>
    </xf>
    <xf numFmtId="166" fontId="11" fillId="36" borderId="50" xfId="63" applyNumberFormat="1" applyFont="1" applyFill="1" applyBorder="1" applyAlignment="1">
      <alignment horizontal="right" vertical="center" wrapText="1"/>
      <protection/>
    </xf>
    <xf numFmtId="166" fontId="10" fillId="0" borderId="30" xfId="0" applyNumberFormat="1" applyFont="1" applyFill="1" applyBorder="1" applyAlignment="1">
      <alignment horizontal="right" vertical="top"/>
    </xf>
    <xf numFmtId="49" fontId="52" fillId="0" borderId="45" xfId="0" applyNumberFormat="1" applyFont="1" applyFill="1" applyBorder="1" applyAlignment="1">
      <alignment horizontal="center" vertical="center" wrapText="1"/>
    </xf>
    <xf numFmtId="49" fontId="53" fillId="0" borderId="15" xfId="0" applyNumberFormat="1" applyFont="1" applyBorder="1" applyAlignment="1">
      <alignment horizontal="left" vertical="center" wrapText="1"/>
    </xf>
    <xf numFmtId="4" fontId="52" fillId="0" borderId="15" xfId="0" applyNumberFormat="1" applyFont="1" applyFill="1" applyBorder="1" applyAlignment="1">
      <alignment horizontal="right" vertical="center"/>
    </xf>
    <xf numFmtId="168" fontId="52" fillId="0" borderId="19" xfId="0" applyNumberFormat="1" applyFont="1" applyFill="1" applyBorder="1" applyAlignment="1">
      <alignment vertical="center"/>
    </xf>
    <xf numFmtId="4" fontId="52" fillId="0" borderId="15" xfId="0" applyNumberFormat="1" applyFont="1" applyFill="1" applyBorder="1" applyAlignment="1">
      <alignment vertical="center"/>
    </xf>
    <xf numFmtId="168" fontId="52" fillId="0" borderId="16" xfId="0" applyNumberFormat="1" applyFont="1" applyFill="1" applyBorder="1" applyAlignment="1">
      <alignment horizontal="right" vertical="center"/>
    </xf>
    <xf numFmtId="0" fontId="53" fillId="0" borderId="15" xfId="0" applyFont="1" applyFill="1" applyBorder="1" applyAlignment="1">
      <alignment horizontal="left" vertical="center" wrapText="1"/>
    </xf>
    <xf numFmtId="0" fontId="54" fillId="39" borderId="0" xfId="0" applyFont="1" applyFill="1" applyAlignment="1">
      <alignment vertical="center"/>
    </xf>
    <xf numFmtId="4" fontId="52" fillId="39" borderId="15" xfId="0" applyNumberFormat="1" applyFont="1" applyFill="1" applyBorder="1" applyAlignment="1">
      <alignment vertical="center"/>
    </xf>
    <xf numFmtId="168" fontId="11" fillId="36" borderId="50" xfId="0" applyNumberFormat="1" applyFont="1" applyFill="1" applyBorder="1" applyAlignment="1">
      <alignment horizontal="center" vertical="center"/>
    </xf>
    <xf numFmtId="0" fontId="11" fillId="37" borderId="0" xfId="0" applyFont="1" applyFill="1" applyAlignment="1">
      <alignment horizontal="right" vertical="center"/>
    </xf>
    <xf numFmtId="0" fontId="55" fillId="39" borderId="15" xfId="0" applyFont="1" applyFill="1" applyBorder="1" applyAlignment="1">
      <alignment horizontal="left" vertical="center" wrapText="1"/>
    </xf>
    <xf numFmtId="0" fontId="55" fillId="0" borderId="15" xfId="0" applyFont="1" applyBorder="1" applyAlignment="1">
      <alignment vertical="center" wrapText="1"/>
    </xf>
    <xf numFmtId="4" fontId="10" fillId="0" borderId="44" xfId="64" applyNumberFormat="1" applyFont="1" applyFill="1" applyBorder="1" applyAlignment="1">
      <alignment vertical="center"/>
      <protection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49" fontId="10" fillId="0" borderId="38" xfId="0" applyNumberFormat="1" applyFont="1" applyBorder="1" applyAlignment="1">
      <alignment horizontal="center" vertical="center" wrapText="1"/>
    </xf>
    <xf numFmtId="168" fontId="10" fillId="0" borderId="41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vertical="center"/>
    </xf>
    <xf numFmtId="0" fontId="10" fillId="0" borderId="11" xfId="62" applyFont="1" applyBorder="1" applyAlignment="1">
      <alignment horizontal="center" vertical="center" wrapText="1"/>
      <protection/>
    </xf>
    <xf numFmtId="0" fontId="10" fillId="0" borderId="19" xfId="62" applyFont="1" applyBorder="1" applyAlignment="1">
      <alignment vertical="center" wrapText="1"/>
      <protection/>
    </xf>
    <xf numFmtId="49" fontId="14" fillId="0" borderId="13" xfId="0" applyNumberFormat="1" applyFont="1" applyFill="1" applyBorder="1" applyAlignment="1">
      <alignment horizontal="center" vertical="center"/>
    </xf>
    <xf numFmtId="49" fontId="57" fillId="0" borderId="10" xfId="0" applyNumberFormat="1" applyFont="1" applyFill="1" applyBorder="1" applyAlignment="1">
      <alignment vertical="center" wrapText="1"/>
    </xf>
    <xf numFmtId="4" fontId="57" fillId="0" borderId="10" xfId="0" applyNumberFormat="1" applyFont="1" applyFill="1" applyBorder="1" applyAlignment="1">
      <alignment vertical="center"/>
    </xf>
    <xf numFmtId="166" fontId="57" fillId="0" borderId="12" xfId="0" applyNumberFormat="1" applyFont="1" applyFill="1" applyBorder="1" applyAlignment="1">
      <alignment vertical="center"/>
    </xf>
    <xf numFmtId="49" fontId="21" fillId="0" borderId="10" xfId="0" applyNumberFormat="1" applyFont="1" applyFill="1" applyBorder="1" applyAlignment="1">
      <alignment vertical="center" wrapText="1"/>
    </xf>
    <xf numFmtId="4" fontId="16" fillId="0" borderId="10" xfId="0" applyNumberFormat="1" applyFont="1" applyFill="1" applyBorder="1" applyAlignment="1">
      <alignment vertical="center"/>
    </xf>
    <xf numFmtId="49" fontId="34" fillId="0" borderId="13" xfId="0" applyNumberFormat="1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49" fontId="52" fillId="0" borderId="10" xfId="0" applyNumberFormat="1" applyFont="1" applyFill="1" applyBorder="1" applyAlignment="1">
      <alignment horizontal="center" vertical="center"/>
    </xf>
    <xf numFmtId="49" fontId="52" fillId="0" borderId="10" xfId="0" applyNumberFormat="1" applyFont="1" applyFill="1" applyBorder="1" applyAlignment="1">
      <alignment horizontal="left" vertical="center" wrapText="1"/>
    </xf>
    <xf numFmtId="4" fontId="52" fillId="0" borderId="10" xfId="0" applyNumberFormat="1" applyFont="1" applyFill="1" applyBorder="1" applyAlignment="1">
      <alignment vertical="center"/>
    </xf>
    <xf numFmtId="166" fontId="52" fillId="0" borderId="12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 horizontal="center" vertical="center"/>
    </xf>
    <xf numFmtId="49" fontId="58" fillId="0" borderId="10" xfId="0" applyNumberFormat="1" applyFont="1" applyFill="1" applyBorder="1" applyAlignment="1">
      <alignment vertical="center" wrapText="1"/>
    </xf>
    <xf numFmtId="4" fontId="58" fillId="0" borderId="10" xfId="0" applyNumberFormat="1" applyFont="1" applyFill="1" applyBorder="1" applyAlignment="1">
      <alignment vertical="center"/>
    </xf>
    <xf numFmtId="166" fontId="58" fillId="0" borderId="12" xfId="0" applyNumberFormat="1" applyFont="1" applyFill="1" applyBorder="1" applyAlignment="1">
      <alignment vertical="center"/>
    </xf>
    <xf numFmtId="49" fontId="59" fillId="0" borderId="10" xfId="0" applyNumberFormat="1" applyFont="1" applyFill="1" applyBorder="1" applyAlignment="1">
      <alignment horizontal="center" vertical="center"/>
    </xf>
    <xf numFmtId="49" fontId="59" fillId="0" borderId="10" xfId="0" applyNumberFormat="1" applyFont="1" applyFill="1" applyBorder="1" applyAlignment="1">
      <alignment vertical="center" wrapText="1"/>
    </xf>
    <xf numFmtId="4" fontId="59" fillId="0" borderId="10" xfId="0" applyNumberFormat="1" applyFont="1" applyFill="1" applyBorder="1" applyAlignment="1">
      <alignment vertical="center"/>
    </xf>
    <xf numFmtId="166" fontId="59" fillId="0" borderId="12" xfId="0" applyNumberFormat="1" applyFont="1" applyFill="1" applyBorder="1" applyAlignment="1">
      <alignment vertical="center"/>
    </xf>
    <xf numFmtId="49" fontId="60" fillId="0" borderId="10" xfId="0" applyNumberFormat="1" applyFont="1" applyFill="1" applyBorder="1" applyAlignment="1">
      <alignment horizontal="center" vertical="center"/>
    </xf>
    <xf numFmtId="49" fontId="57" fillId="0" borderId="10" xfId="0" applyNumberFormat="1" applyFont="1" applyFill="1" applyBorder="1" applyAlignment="1">
      <alignment vertical="center" wrapText="1"/>
    </xf>
    <xf numFmtId="4" fontId="57" fillId="0" borderId="10" xfId="0" applyNumberFormat="1" applyFont="1" applyFill="1" applyBorder="1" applyAlignment="1">
      <alignment vertical="center"/>
    </xf>
    <xf numFmtId="166" fontId="57" fillId="0" borderId="12" xfId="0" applyNumberFormat="1" applyFont="1" applyFill="1" applyBorder="1" applyAlignment="1">
      <alignment vertical="center"/>
    </xf>
    <xf numFmtId="49" fontId="34" fillId="0" borderId="13" xfId="0" applyNumberFormat="1" applyFont="1" applyFill="1" applyBorder="1" applyAlignment="1">
      <alignment horizontal="center" vertical="center"/>
    </xf>
    <xf numFmtId="49" fontId="52" fillId="0" borderId="10" xfId="0" applyNumberFormat="1" applyFont="1" applyFill="1" applyBorder="1" applyAlignment="1">
      <alignment horizontal="center" vertical="center"/>
    </xf>
    <xf numFmtId="49" fontId="52" fillId="0" borderId="10" xfId="0" applyNumberFormat="1" applyFont="1" applyFill="1" applyBorder="1" applyAlignment="1">
      <alignment vertical="center"/>
    </xf>
    <xf numFmtId="4" fontId="52" fillId="0" borderId="10" xfId="0" applyNumberFormat="1" applyFont="1" applyFill="1" applyBorder="1" applyAlignment="1">
      <alignment vertical="center"/>
    </xf>
    <xf numFmtId="166" fontId="52" fillId="0" borderId="12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 horizontal="center" vertical="center"/>
    </xf>
    <xf numFmtId="49" fontId="58" fillId="0" borderId="10" xfId="0" applyNumberFormat="1" applyFont="1" applyFill="1" applyBorder="1" applyAlignment="1">
      <alignment vertical="center" wrapText="1"/>
    </xf>
    <xf numFmtId="4" fontId="58" fillId="0" borderId="10" xfId="0" applyNumberFormat="1" applyFont="1" applyFill="1" applyBorder="1" applyAlignment="1">
      <alignment vertical="center"/>
    </xf>
    <xf numFmtId="166" fontId="58" fillId="0" borderId="12" xfId="0" applyNumberFormat="1" applyFont="1" applyFill="1" applyBorder="1" applyAlignment="1">
      <alignment vertical="center"/>
    </xf>
    <xf numFmtId="49" fontId="59" fillId="0" borderId="10" xfId="0" applyNumberFormat="1" applyFont="1" applyFill="1" applyBorder="1" applyAlignment="1">
      <alignment horizontal="center" vertical="center"/>
    </xf>
    <xf numFmtId="49" fontId="59" fillId="0" borderId="10" xfId="0" applyNumberFormat="1" applyFont="1" applyFill="1" applyBorder="1" applyAlignment="1">
      <alignment vertical="center" wrapText="1"/>
    </xf>
    <xf numFmtId="4" fontId="59" fillId="0" borderId="10" xfId="0" applyNumberFormat="1" applyFont="1" applyFill="1" applyBorder="1" applyAlignment="1">
      <alignment vertical="center"/>
    </xf>
    <xf numFmtId="166" fontId="59" fillId="0" borderId="12" xfId="0" applyNumberFormat="1" applyFont="1" applyFill="1" applyBorder="1" applyAlignment="1">
      <alignment vertical="center"/>
    </xf>
    <xf numFmtId="49" fontId="60" fillId="0" borderId="10" xfId="0" applyNumberFormat="1" applyFont="1" applyFill="1" applyBorder="1" applyAlignment="1">
      <alignment horizontal="center" vertical="center"/>
    </xf>
    <xf numFmtId="0" fontId="38" fillId="37" borderId="0" xfId="0" applyFont="1" applyFill="1" applyAlignment="1">
      <alignment horizontal="center" vertical="center"/>
    </xf>
    <xf numFmtId="49" fontId="10" fillId="39" borderId="13" xfId="0" applyNumberFormat="1" applyFont="1" applyFill="1" applyBorder="1" applyAlignment="1">
      <alignment horizontal="center" vertical="center"/>
    </xf>
    <xf numFmtId="49" fontId="10" fillId="39" borderId="14" xfId="0" applyNumberFormat="1" applyFont="1" applyFill="1" applyBorder="1" applyAlignment="1">
      <alignment horizontal="center" vertical="center"/>
    </xf>
    <xf numFmtId="49" fontId="13" fillId="39" borderId="10" xfId="0" applyNumberFormat="1" applyFont="1" applyFill="1" applyBorder="1" applyAlignment="1">
      <alignment horizontal="left" vertical="center" wrapText="1"/>
    </xf>
    <xf numFmtId="4" fontId="13" fillId="39" borderId="10" xfId="0" applyNumberFormat="1" applyFont="1" applyFill="1" applyBorder="1" applyAlignment="1">
      <alignment vertical="center"/>
    </xf>
    <xf numFmtId="166" fontId="13" fillId="39" borderId="12" xfId="0" applyNumberFormat="1" applyFont="1" applyFill="1" applyBorder="1" applyAlignment="1">
      <alignment vertical="center"/>
    </xf>
    <xf numFmtId="49" fontId="58" fillId="0" borderId="10" xfId="0" applyNumberFormat="1" applyFont="1" applyBorder="1" applyAlignment="1">
      <alignment vertical="center" wrapText="1"/>
    </xf>
    <xf numFmtId="4" fontId="58" fillId="0" borderId="10" xfId="0" applyNumberFormat="1" applyFont="1" applyBorder="1" applyAlignment="1">
      <alignment vertical="center"/>
    </xf>
    <xf numFmtId="166" fontId="58" fillId="0" borderId="12" xfId="0" applyNumberFormat="1" applyFont="1" applyBorder="1" applyAlignment="1">
      <alignment vertical="center"/>
    </xf>
    <xf numFmtId="49" fontId="59" fillId="0" borderId="10" xfId="0" applyNumberFormat="1" applyFont="1" applyBorder="1" applyAlignment="1">
      <alignment vertical="center" wrapText="1"/>
    </xf>
    <xf numFmtId="4" fontId="59" fillId="0" borderId="10" xfId="0" applyNumberFormat="1" applyFont="1" applyBorder="1" applyAlignment="1">
      <alignment vertical="center"/>
    </xf>
    <xf numFmtId="166" fontId="59" fillId="0" borderId="12" xfId="0" applyNumberFormat="1" applyFont="1" applyBorder="1" applyAlignment="1">
      <alignment vertical="center"/>
    </xf>
    <xf numFmtId="49" fontId="57" fillId="0" borderId="10" xfId="0" applyNumberFormat="1" applyFont="1" applyBorder="1" applyAlignment="1">
      <alignment vertical="center" wrapText="1"/>
    </xf>
    <xf numFmtId="4" fontId="57" fillId="0" borderId="10" xfId="0" applyNumberFormat="1" applyFont="1" applyBorder="1" applyAlignment="1">
      <alignment vertical="center"/>
    </xf>
    <xf numFmtId="166" fontId="57" fillId="0" borderId="12" xfId="0" applyNumberFormat="1" applyFont="1" applyBorder="1" applyAlignment="1">
      <alignment vertical="center"/>
    </xf>
    <xf numFmtId="49" fontId="59" fillId="0" borderId="10" xfId="0" applyNumberFormat="1" applyFont="1" applyBorder="1" applyAlignment="1">
      <alignment horizontal="left" vertical="center" wrapText="1"/>
    </xf>
    <xf numFmtId="49" fontId="52" fillId="0" borderId="10" xfId="0" applyNumberFormat="1" applyFont="1" applyBorder="1" applyAlignment="1">
      <alignment vertical="center" wrapText="1"/>
    </xf>
    <xf numFmtId="4" fontId="52" fillId="0" borderId="10" xfId="0" applyNumberFormat="1" applyFont="1" applyBorder="1" applyAlignment="1">
      <alignment vertical="center"/>
    </xf>
    <xf numFmtId="49" fontId="41" fillId="0" borderId="10" xfId="0" applyNumberFormat="1" applyFont="1" applyFill="1" applyBorder="1" applyAlignment="1">
      <alignment vertical="center" wrapText="1"/>
    </xf>
    <xf numFmtId="4" fontId="41" fillId="0" borderId="10" xfId="0" applyNumberFormat="1" applyFont="1" applyFill="1" applyBorder="1" applyAlignment="1">
      <alignment vertical="center"/>
    </xf>
    <xf numFmtId="166" fontId="41" fillId="0" borderId="12" xfId="0" applyNumberFormat="1" applyFont="1" applyFill="1" applyBorder="1" applyAlignment="1">
      <alignment vertical="center"/>
    </xf>
    <xf numFmtId="0" fontId="52" fillId="0" borderId="0" xfId="59" applyFont="1" applyAlignment="1">
      <alignment vertical="center"/>
      <protection/>
    </xf>
    <xf numFmtId="0" fontId="10" fillId="39" borderId="70" xfId="59" applyFont="1" applyFill="1" applyBorder="1" applyAlignment="1">
      <alignment horizontal="left" vertical="center" wrapText="1"/>
      <protection/>
    </xf>
    <xf numFmtId="4" fontId="13" fillId="0" borderId="74" xfId="59" applyNumberFormat="1" applyFont="1" applyBorder="1" applyAlignment="1">
      <alignment horizontal="right" vertical="center"/>
      <protection/>
    </xf>
    <xf numFmtId="4" fontId="13" fillId="39" borderId="78" xfId="59" applyNumberFormat="1" applyFont="1" applyFill="1" applyBorder="1" applyAlignment="1">
      <alignment horizontal="right" vertical="center"/>
      <protection/>
    </xf>
    <xf numFmtId="166" fontId="10" fillId="0" borderId="78" xfId="59" applyNumberFormat="1" applyFont="1" applyBorder="1" applyAlignment="1">
      <alignment vertical="center"/>
      <protection/>
    </xf>
    <xf numFmtId="4" fontId="13" fillId="39" borderId="19" xfId="59" applyNumberFormat="1" applyFont="1" applyFill="1" applyBorder="1" applyAlignment="1">
      <alignment horizontal="right" vertical="center"/>
      <protection/>
    </xf>
    <xf numFmtId="166" fontId="10" fillId="0" borderId="19" xfId="59" applyNumberFormat="1" applyFont="1" applyBorder="1" applyAlignment="1">
      <alignment vertical="center"/>
      <protection/>
    </xf>
    <xf numFmtId="166" fontId="13" fillId="0" borderId="78" xfId="59" applyNumberFormat="1" applyFont="1" applyBorder="1" applyAlignment="1">
      <alignment horizontal="right" vertical="center"/>
      <protection/>
    </xf>
    <xf numFmtId="166" fontId="13" fillId="0" borderId="78" xfId="59" applyNumberFormat="1" applyFont="1" applyBorder="1" applyAlignment="1">
      <alignment horizontal="center" vertical="center"/>
      <protection/>
    </xf>
    <xf numFmtId="0" fontId="10" fillId="39" borderId="70" xfId="59" applyFont="1" applyFill="1" applyBorder="1" applyAlignment="1">
      <alignment vertical="center" wrapText="1"/>
      <protection/>
    </xf>
    <xf numFmtId="166" fontId="10" fillId="39" borderId="70" xfId="59" applyNumberFormat="1" applyFont="1" applyFill="1" applyBorder="1" applyAlignment="1">
      <alignment vertical="center"/>
      <protection/>
    </xf>
    <xf numFmtId="0" fontId="13" fillId="39" borderId="78" xfId="0" applyFont="1" applyFill="1" applyBorder="1" applyAlignment="1">
      <alignment horizontal="right"/>
    </xf>
    <xf numFmtId="166" fontId="13" fillId="39" borderId="78" xfId="59" applyNumberFormat="1" applyFont="1" applyFill="1" applyBorder="1" applyAlignment="1">
      <alignment horizontal="center" vertical="center"/>
      <protection/>
    </xf>
    <xf numFmtId="0" fontId="13" fillId="39" borderId="19" xfId="59" applyFont="1" applyFill="1" applyBorder="1" applyAlignment="1">
      <alignment horizontal="right" vertical="center"/>
      <protection/>
    </xf>
    <xf numFmtId="166" fontId="13" fillId="39" borderId="19" xfId="59" applyNumberFormat="1" applyFont="1" applyFill="1" applyBorder="1" applyAlignment="1">
      <alignment vertical="center"/>
      <protection/>
    </xf>
    <xf numFmtId="168" fontId="10" fillId="39" borderId="16" xfId="0" applyNumberFormat="1" applyFont="1" applyFill="1" applyBorder="1" applyAlignment="1">
      <alignment vertical="center"/>
    </xf>
    <xf numFmtId="0" fontId="11" fillId="39" borderId="0" xfId="0" applyFont="1" applyFill="1" applyAlignment="1">
      <alignment vertical="center"/>
    </xf>
    <xf numFmtId="4" fontId="10" fillId="39" borderId="43" xfId="0" applyNumberFormat="1" applyFont="1" applyFill="1" applyBorder="1" applyAlignment="1">
      <alignment vertical="center"/>
    </xf>
    <xf numFmtId="168" fontId="10" fillId="39" borderId="47" xfId="0" applyNumberFormat="1" applyFont="1" applyFill="1" applyBorder="1" applyAlignment="1">
      <alignment vertical="center"/>
    </xf>
    <xf numFmtId="0" fontId="14" fillId="39" borderId="0" xfId="0" applyFont="1" applyFill="1" applyAlignment="1">
      <alignment vertical="center"/>
    </xf>
    <xf numFmtId="4" fontId="11" fillId="39" borderId="0" xfId="0" applyNumberFormat="1" applyFont="1" applyFill="1" applyAlignment="1">
      <alignment horizontal="right" vertical="center"/>
    </xf>
    <xf numFmtId="0" fontId="11" fillId="39" borderId="0" xfId="0" applyFont="1" applyFill="1" applyAlignment="1">
      <alignment horizontal="right" vertical="center"/>
    </xf>
    <xf numFmtId="0" fontId="11" fillId="39" borderId="0" xfId="0" applyFont="1" applyFill="1" applyBorder="1" applyAlignment="1">
      <alignment horizontal="left" vertical="center" wrapText="1"/>
    </xf>
    <xf numFmtId="0" fontId="11" fillId="39" borderId="0" xfId="0" applyFont="1" applyFill="1" applyAlignment="1">
      <alignment vertical="center" wrapText="1"/>
    </xf>
    <xf numFmtId="4" fontId="10" fillId="39" borderId="19" xfId="0" applyNumberFormat="1" applyFont="1" applyFill="1" applyBorder="1" applyAlignment="1">
      <alignment vertical="center"/>
    </xf>
    <xf numFmtId="4" fontId="10" fillId="39" borderId="27" xfId="0" applyNumberFormat="1" applyFont="1" applyFill="1" applyBorder="1" applyAlignment="1">
      <alignment vertical="center"/>
    </xf>
    <xf numFmtId="168" fontId="10" fillId="39" borderId="20" xfId="0" applyNumberFormat="1" applyFont="1" applyFill="1" applyBorder="1" applyAlignment="1">
      <alignment vertical="center"/>
    </xf>
    <xf numFmtId="4" fontId="10" fillId="39" borderId="10" xfId="0" applyNumberFormat="1" applyFont="1" applyFill="1" applyBorder="1" applyAlignment="1">
      <alignment vertical="center"/>
    </xf>
    <xf numFmtId="168" fontId="40" fillId="39" borderId="16" xfId="0" applyNumberFormat="1" applyFont="1" applyFill="1" applyBorder="1" applyAlignment="1">
      <alignment vertical="center"/>
    </xf>
    <xf numFmtId="0" fontId="39" fillId="39" borderId="0" xfId="0" applyFont="1" applyFill="1" applyAlignment="1">
      <alignment vertical="center"/>
    </xf>
    <xf numFmtId="49" fontId="59" fillId="0" borderId="10" xfId="0" applyNumberFormat="1" applyFont="1" applyBorder="1" applyAlignment="1">
      <alignment horizontal="center" vertical="top" wrapText="1"/>
    </xf>
    <xf numFmtId="49" fontId="59" fillId="0" borderId="10" xfId="0" applyNumberFormat="1" applyFont="1" applyFill="1" applyBorder="1" applyAlignment="1">
      <alignment vertical="top" wrapText="1"/>
    </xf>
    <xf numFmtId="4" fontId="52" fillId="0" borderId="10" xfId="0" applyNumberFormat="1" applyFont="1" applyBorder="1" applyAlignment="1">
      <alignment vertical="top"/>
    </xf>
    <xf numFmtId="166" fontId="36" fillId="0" borderId="12" xfId="0" applyNumberFormat="1" applyFont="1" applyFill="1" applyBorder="1" applyAlignment="1">
      <alignment horizontal="right" vertical="top"/>
    </xf>
    <xf numFmtId="49" fontId="59" fillId="0" borderId="10" xfId="0" applyNumberFormat="1" applyFont="1" applyFill="1" applyBorder="1" applyAlignment="1">
      <alignment horizontal="center" vertical="top"/>
    </xf>
    <xf numFmtId="4" fontId="59" fillId="0" borderId="10" xfId="0" applyNumberFormat="1" applyFont="1" applyFill="1" applyBorder="1" applyAlignment="1">
      <alignment vertical="top"/>
    </xf>
    <xf numFmtId="49" fontId="59" fillId="0" borderId="10" xfId="0" applyNumberFormat="1" applyFont="1" applyBorder="1" applyAlignment="1">
      <alignment vertical="top" wrapText="1"/>
    </xf>
    <xf numFmtId="166" fontId="59" fillId="0" borderId="12" xfId="0" applyNumberFormat="1" applyFont="1" applyFill="1" applyBorder="1" applyAlignment="1">
      <alignment horizontal="right" vertical="top"/>
    </xf>
    <xf numFmtId="49" fontId="59" fillId="0" borderId="10" xfId="0" applyNumberFormat="1" applyFont="1" applyBorder="1" applyAlignment="1">
      <alignment horizontal="center" vertical="top"/>
    </xf>
    <xf numFmtId="49" fontId="59" fillId="0" borderId="21" xfId="0" applyNumberFormat="1" applyFont="1" applyFill="1" applyBorder="1" applyAlignment="1">
      <alignment vertical="top" wrapText="1"/>
    </xf>
    <xf numFmtId="4" fontId="59" fillId="0" borderId="10" xfId="0" applyNumberFormat="1" applyFont="1" applyBorder="1" applyAlignment="1">
      <alignment vertical="top"/>
    </xf>
    <xf numFmtId="166" fontId="33" fillId="0" borderId="12" xfId="0" applyNumberFormat="1" applyFont="1" applyBorder="1" applyAlignment="1">
      <alignment horizontal="right" vertical="top"/>
    </xf>
    <xf numFmtId="49" fontId="61" fillId="0" borderId="10" xfId="0" applyNumberFormat="1" applyFont="1" applyBorder="1" applyAlignment="1">
      <alignment horizontal="center" vertical="top"/>
    </xf>
    <xf numFmtId="49" fontId="61" fillId="0" borderId="10" xfId="0" applyNumberFormat="1" applyFont="1" applyBorder="1" applyAlignment="1">
      <alignment vertical="top"/>
    </xf>
    <xf numFmtId="4" fontId="61" fillId="0" borderId="21" xfId="0" applyNumberFormat="1" applyFont="1" applyBorder="1" applyAlignment="1">
      <alignment vertical="top"/>
    </xf>
    <xf numFmtId="166" fontId="62" fillId="0" borderId="12" xfId="0" applyNumberFormat="1" applyFont="1" applyFill="1" applyBorder="1" applyAlignment="1">
      <alignment horizontal="right" vertical="top"/>
    </xf>
    <xf numFmtId="0" fontId="36" fillId="0" borderId="10" xfId="0" applyFont="1" applyBorder="1" applyAlignment="1">
      <alignment horizontal="center" vertical="top" wrapText="1"/>
    </xf>
    <xf numFmtId="49" fontId="36" fillId="0" borderId="21" xfId="0" applyNumberFormat="1" applyFont="1" applyBorder="1" applyAlignment="1">
      <alignment vertical="top" wrapText="1"/>
    </xf>
    <xf numFmtId="49" fontId="59" fillId="0" borderId="21" xfId="0" applyNumberFormat="1" applyFont="1" applyBorder="1" applyAlignment="1">
      <alignment vertical="top" wrapText="1"/>
    </xf>
    <xf numFmtId="4" fontId="59" fillId="0" borderId="21" xfId="0" applyNumberFormat="1" applyFont="1" applyBorder="1" applyAlignment="1">
      <alignment vertical="top"/>
    </xf>
    <xf numFmtId="49" fontId="52" fillId="0" borderId="10" xfId="0" applyNumberFormat="1" applyFont="1" applyBorder="1" applyAlignment="1">
      <alignment horizontal="center" vertical="top" wrapText="1"/>
    </xf>
    <xf numFmtId="49" fontId="52" fillId="0" borderId="21" xfId="0" applyNumberFormat="1" applyFont="1" applyBorder="1" applyAlignment="1">
      <alignment vertical="top" wrapText="1"/>
    </xf>
    <xf numFmtId="4" fontId="52" fillId="0" borderId="21" xfId="0" applyNumberFormat="1" applyFont="1" applyBorder="1" applyAlignment="1">
      <alignment vertical="top"/>
    </xf>
    <xf numFmtId="49" fontId="52" fillId="0" borderId="10" xfId="0" applyNumberFormat="1" applyFont="1" applyBorder="1" applyAlignment="1">
      <alignment horizontal="center" vertical="top"/>
    </xf>
    <xf numFmtId="49" fontId="36" fillId="0" borderId="10" xfId="0" applyNumberFormat="1" applyFont="1" applyBorder="1" applyAlignment="1">
      <alignment horizontal="center" vertical="top" wrapText="1"/>
    </xf>
    <xf numFmtId="49" fontId="36" fillId="0" borderId="10" xfId="0" applyNumberFormat="1" applyFont="1" applyFill="1" applyBorder="1" applyAlignment="1">
      <alignment vertical="top" wrapText="1"/>
    </xf>
    <xf numFmtId="49" fontId="33" fillId="0" borderId="10" xfId="0" applyNumberFormat="1" applyFont="1" applyBorder="1" applyAlignment="1">
      <alignment vertical="top"/>
    </xf>
    <xf numFmtId="49" fontId="61" fillId="0" borderId="10" xfId="0" applyNumberFormat="1" applyFont="1" applyFill="1" applyBorder="1" applyAlignment="1">
      <alignment horizontal="center" vertical="top" wrapText="1"/>
    </xf>
    <xf numFmtId="49" fontId="61" fillId="0" borderId="10" xfId="0" applyNumberFormat="1" applyFont="1" applyFill="1" applyBorder="1" applyAlignment="1">
      <alignment vertical="top" wrapText="1"/>
    </xf>
    <xf numFmtId="4" fontId="61" fillId="0" borderId="10" xfId="0" applyNumberFormat="1" applyFont="1" applyFill="1" applyBorder="1" applyAlignment="1">
      <alignment vertical="top"/>
    </xf>
    <xf numFmtId="166" fontId="61" fillId="0" borderId="12" xfId="0" applyNumberFormat="1" applyFont="1" applyFill="1" applyBorder="1" applyAlignment="1">
      <alignment horizontal="right" vertical="top"/>
    </xf>
    <xf numFmtId="49" fontId="36" fillId="0" borderId="10" xfId="0" applyNumberFormat="1" applyFont="1" applyBorder="1" applyAlignment="1">
      <alignment vertical="top"/>
    </xf>
    <xf numFmtId="49" fontId="59" fillId="0" borderId="10" xfId="0" applyNumberFormat="1" applyFont="1" applyBorder="1" applyAlignment="1">
      <alignment vertical="top"/>
    </xf>
    <xf numFmtId="49" fontId="61" fillId="0" borderId="10" xfId="0" applyNumberFormat="1" applyFont="1" applyBorder="1" applyAlignment="1">
      <alignment horizontal="center" vertical="top" wrapText="1"/>
    </xf>
    <xf numFmtId="49" fontId="61" fillId="0" borderId="10" xfId="0" applyNumberFormat="1" applyFont="1" applyBorder="1" applyAlignment="1">
      <alignment vertical="top" wrapText="1"/>
    </xf>
    <xf numFmtId="4" fontId="61" fillId="0" borderId="10" xfId="0" applyNumberFormat="1" applyFont="1" applyBorder="1" applyAlignment="1">
      <alignment vertical="top"/>
    </xf>
    <xf numFmtId="0" fontId="10" fillId="0" borderId="43" xfId="0" applyFont="1" applyBorder="1" applyAlignment="1">
      <alignment vertical="center" wrapText="1"/>
    </xf>
    <xf numFmtId="0" fontId="52" fillId="0" borderId="17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0" fontId="52" fillId="0" borderId="15" xfId="0" applyFont="1" applyBorder="1" applyAlignment="1">
      <alignment vertical="center"/>
    </xf>
    <xf numFmtId="4" fontId="52" fillId="39" borderId="15" xfId="0" applyNumberFormat="1" applyFont="1" applyFill="1" applyBorder="1" applyAlignment="1">
      <alignment vertical="center"/>
    </xf>
    <xf numFmtId="168" fontId="52" fillId="39" borderId="16" xfId="0" applyNumberFormat="1" applyFont="1" applyFill="1" applyBorder="1" applyAlignment="1">
      <alignment vertical="center"/>
    </xf>
    <xf numFmtId="0" fontId="56" fillId="39" borderId="0" xfId="0" applyFont="1" applyFill="1" applyAlignment="1">
      <alignment vertical="center"/>
    </xf>
    <xf numFmtId="0" fontId="52" fillId="0" borderId="15" xfId="0" applyFont="1" applyBorder="1" applyAlignment="1">
      <alignment vertical="center" wrapText="1"/>
    </xf>
    <xf numFmtId="0" fontId="52" fillId="0" borderId="19" xfId="0" applyFont="1" applyBorder="1" applyAlignment="1">
      <alignment horizontal="center" vertical="center"/>
    </xf>
    <xf numFmtId="0" fontId="52" fillId="0" borderId="19" xfId="0" applyFont="1" applyBorder="1" applyAlignment="1">
      <alignment vertical="center" wrapText="1"/>
    </xf>
    <xf numFmtId="4" fontId="52" fillId="39" borderId="19" xfId="0" applyNumberFormat="1" applyFont="1" applyFill="1" applyBorder="1" applyAlignment="1">
      <alignment vertical="center"/>
    </xf>
    <xf numFmtId="168" fontId="52" fillId="39" borderId="20" xfId="0" applyNumberFormat="1" applyFont="1" applyFill="1" applyBorder="1" applyAlignment="1">
      <alignment vertical="center"/>
    </xf>
    <xf numFmtId="49" fontId="33" fillId="0" borderId="21" xfId="0" applyNumberFormat="1" applyFont="1" applyFill="1" applyBorder="1" applyAlignment="1">
      <alignment horizontal="center" vertical="top"/>
    </xf>
    <xf numFmtId="0" fontId="33" fillId="0" borderId="21" xfId="0" applyFont="1" applyFill="1" applyBorder="1" applyAlignment="1">
      <alignment horizontal="center" vertical="top" wrapText="1"/>
    </xf>
    <xf numFmtId="0" fontId="36" fillId="0" borderId="10" xfId="0" applyFont="1" applyFill="1" applyBorder="1" applyAlignment="1">
      <alignment horizontal="center" vertical="top"/>
    </xf>
    <xf numFmtId="49" fontId="36" fillId="0" borderId="10" xfId="0" applyNumberFormat="1" applyFont="1" applyFill="1" applyBorder="1" applyAlignment="1">
      <alignment vertical="top"/>
    </xf>
    <xf numFmtId="4" fontId="36" fillId="0" borderId="10" xfId="0" applyNumberFormat="1" applyFont="1" applyFill="1" applyBorder="1" applyAlignment="1">
      <alignment vertical="top"/>
    </xf>
    <xf numFmtId="166" fontId="14" fillId="0" borderId="12" xfId="0" applyNumberFormat="1" applyFont="1" applyFill="1" applyBorder="1" applyAlignment="1">
      <alignment horizontal="right" vertical="top"/>
    </xf>
    <xf numFmtId="49" fontId="36" fillId="0" borderId="21" xfId="0" applyNumberFormat="1" applyFont="1" applyBorder="1" applyAlignment="1">
      <alignment horizontal="center" vertical="top"/>
    </xf>
    <xf numFmtId="49" fontId="59" fillId="0" borderId="10" xfId="0" applyNumberFormat="1" applyFont="1" applyFill="1" applyBorder="1" applyAlignment="1">
      <alignment horizontal="center" vertical="top" wrapText="1"/>
    </xf>
    <xf numFmtId="4" fontId="59" fillId="0" borderId="21" xfId="0" applyNumberFormat="1" applyFont="1" applyFill="1" applyBorder="1" applyAlignment="1">
      <alignment vertical="top"/>
    </xf>
    <xf numFmtId="0" fontId="33" fillId="0" borderId="10" xfId="0" applyFont="1" applyFill="1" applyBorder="1" applyAlignment="1">
      <alignment horizontal="center" vertical="top" wrapText="1"/>
    </xf>
    <xf numFmtId="49" fontId="63" fillId="0" borderId="10" xfId="0" applyNumberFormat="1" applyFont="1" applyBorder="1" applyAlignment="1">
      <alignment horizontal="center" vertical="top" wrapText="1"/>
    </xf>
    <xf numFmtId="49" fontId="63" fillId="0" borderId="10" xfId="0" applyNumberFormat="1" applyFont="1" applyBorder="1" applyAlignment="1">
      <alignment vertical="top" wrapText="1"/>
    </xf>
    <xf numFmtId="4" fontId="63" fillId="0" borderId="10" xfId="0" applyNumberFormat="1" applyFont="1" applyFill="1" applyBorder="1" applyAlignment="1">
      <alignment vertical="top"/>
    </xf>
    <xf numFmtId="166" fontId="63" fillId="0" borderId="12" xfId="0" applyNumberFormat="1" applyFont="1" applyFill="1" applyBorder="1" applyAlignment="1">
      <alignment horizontal="right" vertical="top"/>
    </xf>
    <xf numFmtId="4" fontId="63" fillId="0" borderId="10" xfId="0" applyNumberFormat="1" applyFont="1" applyBorder="1" applyAlignment="1">
      <alignment vertical="top"/>
    </xf>
    <xf numFmtId="49" fontId="63" fillId="0" borderId="21" xfId="0" applyNumberFormat="1" applyFont="1" applyFill="1" applyBorder="1" applyAlignment="1">
      <alignment vertical="top" wrapText="1"/>
    </xf>
    <xf numFmtId="0" fontId="52" fillId="0" borderId="43" xfId="0" applyFont="1" applyFill="1" applyBorder="1" applyAlignment="1">
      <alignment vertical="center" wrapText="1"/>
    </xf>
    <xf numFmtId="4" fontId="50" fillId="37" borderId="0" xfId="0" applyNumberFormat="1" applyFont="1" applyFill="1" applyAlignment="1">
      <alignment vertical="center"/>
    </xf>
    <xf numFmtId="0" fontId="50" fillId="37" borderId="0" xfId="0" applyFont="1" applyFill="1" applyAlignment="1">
      <alignment vertical="center"/>
    </xf>
    <xf numFmtId="0" fontId="16" fillId="0" borderId="0" xfId="0" applyFont="1" applyFill="1" applyAlignment="1" applyProtection="1">
      <alignment horizontal="left"/>
      <protection hidden="1"/>
    </xf>
    <xf numFmtId="4" fontId="13" fillId="0" borderId="14" xfId="0" applyNumberFormat="1" applyFont="1" applyFill="1" applyBorder="1" applyAlignment="1" applyProtection="1">
      <alignment horizontal="center"/>
      <protection hidden="1"/>
    </xf>
    <xf numFmtId="49" fontId="16" fillId="0" borderId="0" xfId="0" applyNumberFormat="1" applyFont="1" applyAlignment="1" applyProtection="1">
      <alignment horizontal="left"/>
      <protection hidden="1"/>
    </xf>
    <xf numFmtId="49" fontId="64" fillId="0" borderId="10" xfId="0" applyNumberFormat="1" applyFont="1" applyFill="1" applyBorder="1" applyAlignment="1">
      <alignment horizontal="center" vertical="top" wrapText="1"/>
    </xf>
    <xf numFmtId="0" fontId="65" fillId="0" borderId="0" xfId="0" applyFont="1" applyAlignment="1">
      <alignment vertical="center"/>
    </xf>
    <xf numFmtId="49" fontId="10" fillId="39" borderId="14" xfId="0" applyNumberFormat="1" applyFont="1" applyFill="1" applyBorder="1" applyAlignment="1">
      <alignment vertical="center" wrapText="1"/>
    </xf>
    <xf numFmtId="49" fontId="33" fillId="39" borderId="10" xfId="0" applyNumberFormat="1" applyFont="1" applyFill="1" applyBorder="1" applyAlignment="1">
      <alignment vertical="top" wrapText="1"/>
    </xf>
    <xf numFmtId="49" fontId="47" fillId="0" borderId="10" xfId="0" applyNumberFormat="1" applyFont="1" applyBorder="1" applyAlignment="1">
      <alignment horizontal="center" vertical="top"/>
    </xf>
    <xf numFmtId="0" fontId="13" fillId="0" borderId="30" xfId="0" applyFont="1" applyFill="1" applyBorder="1" applyAlignment="1">
      <alignment horizontal="center" vertical="top" wrapText="1"/>
    </xf>
    <xf numFmtId="166" fontId="13" fillId="0" borderId="40" xfId="0" applyNumberFormat="1" applyFont="1" applyFill="1" applyBorder="1" applyAlignment="1">
      <alignment horizontal="right" vertical="top"/>
    </xf>
    <xf numFmtId="166" fontId="56" fillId="0" borderId="41" xfId="0" applyNumberFormat="1" applyFont="1" applyFill="1" applyBorder="1" applyAlignment="1">
      <alignment horizontal="right" vertical="top"/>
    </xf>
    <xf numFmtId="0" fontId="67" fillId="0" borderId="0" xfId="0" applyFont="1" applyAlignment="1">
      <alignment vertical="center"/>
    </xf>
    <xf numFmtId="0" fontId="68" fillId="0" borderId="15" xfId="0" applyFont="1" applyBorder="1" applyAlignment="1">
      <alignment vertical="center" wrapText="1"/>
    </xf>
    <xf numFmtId="0" fontId="68" fillId="0" borderId="15" xfId="0" applyFont="1" applyBorder="1" applyAlignment="1">
      <alignment horizontal="center" vertical="center" wrapText="1"/>
    </xf>
    <xf numFmtId="0" fontId="68" fillId="0" borderId="0" xfId="0" applyFont="1" applyAlignment="1">
      <alignment vertical="center"/>
    </xf>
    <xf numFmtId="0" fontId="68" fillId="0" borderId="15" xfId="0" applyFont="1" applyBorder="1" applyAlignment="1">
      <alignment horizontal="center" vertical="center"/>
    </xf>
    <xf numFmtId="0" fontId="68" fillId="0" borderId="15" xfId="0" applyFont="1" applyBorder="1" applyAlignment="1">
      <alignment horizontal="left" vertical="center"/>
    </xf>
    <xf numFmtId="0" fontId="68" fillId="0" borderId="15" xfId="0" applyFont="1" applyFill="1" applyBorder="1" applyAlignment="1">
      <alignment horizontal="center" vertical="center" wrapText="1"/>
    </xf>
    <xf numFmtId="0" fontId="68" fillId="40" borderId="15" xfId="0" applyFont="1" applyFill="1" applyBorder="1" applyAlignment="1">
      <alignment horizontal="left" vertical="center"/>
    </xf>
    <xf numFmtId="3" fontId="68" fillId="40" borderId="15" xfId="0" applyNumberFormat="1" applyFont="1" applyFill="1" applyBorder="1" applyAlignment="1">
      <alignment vertical="center"/>
    </xf>
    <xf numFmtId="4" fontId="68" fillId="40" borderId="15" xfId="0" applyNumberFormat="1" applyFont="1" applyFill="1" applyBorder="1" applyAlignment="1">
      <alignment vertical="center"/>
    </xf>
    <xf numFmtId="0" fontId="68" fillId="37" borderId="0" xfId="0" applyFont="1" applyFill="1" applyAlignment="1">
      <alignment vertical="center"/>
    </xf>
    <xf numFmtId="0" fontId="68" fillId="41" borderId="15" xfId="0" applyFont="1" applyFill="1" applyBorder="1" applyAlignment="1">
      <alignment horizontal="left" vertical="center"/>
    </xf>
    <xf numFmtId="3" fontId="68" fillId="41" borderId="15" xfId="0" applyNumberFormat="1" applyFont="1" applyFill="1" applyBorder="1" applyAlignment="1">
      <alignment vertical="center"/>
    </xf>
    <xf numFmtId="4" fontId="68" fillId="41" borderId="15" xfId="0" applyNumberFormat="1" applyFont="1" applyFill="1" applyBorder="1" applyAlignment="1">
      <alignment vertical="center"/>
    </xf>
    <xf numFmtId="0" fontId="68" fillId="41" borderId="0" xfId="0" applyFont="1" applyFill="1" applyAlignment="1">
      <alignment vertical="center"/>
    </xf>
    <xf numFmtId="0" fontId="70" fillId="0" borderId="15" xfId="0" applyFont="1" applyFill="1" applyBorder="1" applyAlignment="1">
      <alignment horizontal="left" vertical="center"/>
    </xf>
    <xf numFmtId="3" fontId="70" fillId="0" borderId="15" xfId="0" applyNumberFormat="1" applyFont="1" applyFill="1" applyBorder="1" applyAlignment="1">
      <alignment vertical="center"/>
    </xf>
    <xf numFmtId="4" fontId="70" fillId="0" borderId="15" xfId="0" applyNumberFormat="1" applyFont="1" applyFill="1" applyBorder="1" applyAlignment="1">
      <alignment vertical="center"/>
    </xf>
    <xf numFmtId="0" fontId="70" fillId="0" borderId="0" xfId="0" applyFont="1" applyFill="1" applyAlignment="1">
      <alignment vertical="center"/>
    </xf>
    <xf numFmtId="0" fontId="71" fillId="0" borderId="15" xfId="0" applyFont="1" applyBorder="1" applyAlignment="1">
      <alignment horizontal="left" vertical="center"/>
    </xf>
    <xf numFmtId="0" fontId="71" fillId="0" borderId="15" xfId="0" applyFont="1" applyBorder="1" applyAlignment="1">
      <alignment vertical="center" wrapText="1"/>
    </xf>
    <xf numFmtId="0" fontId="71" fillId="0" borderId="15" xfId="0" applyFont="1" applyBorder="1" applyAlignment="1">
      <alignment horizontal="center" vertical="center" wrapText="1"/>
    </xf>
    <xf numFmtId="0" fontId="71" fillId="0" borderId="15" xfId="0" applyFont="1" applyBorder="1" applyAlignment="1">
      <alignment horizontal="center" vertical="center"/>
    </xf>
    <xf numFmtId="3" fontId="71" fillId="0" borderId="15" xfId="0" applyNumberFormat="1" applyFont="1" applyBorder="1" applyAlignment="1">
      <alignment vertical="center"/>
    </xf>
    <xf numFmtId="3" fontId="71" fillId="0" borderId="15" xfId="0" applyNumberFormat="1" applyFont="1" applyFill="1" applyBorder="1" applyAlignment="1">
      <alignment vertical="center"/>
    </xf>
    <xf numFmtId="4" fontId="71" fillId="0" borderId="15" xfId="0" applyNumberFormat="1" applyFont="1" applyFill="1" applyBorder="1" applyAlignment="1">
      <alignment vertical="center"/>
    </xf>
    <xf numFmtId="0" fontId="71" fillId="0" borderId="0" xfId="0" applyFont="1" applyAlignment="1">
      <alignment vertical="center"/>
    </xf>
    <xf numFmtId="3" fontId="71" fillId="39" borderId="15" xfId="0" applyNumberFormat="1" applyFont="1" applyFill="1" applyBorder="1" applyAlignment="1">
      <alignment vertical="center"/>
    </xf>
    <xf numFmtId="0" fontId="71" fillId="0" borderId="15" xfId="0" applyFont="1" applyFill="1" applyBorder="1" applyAlignment="1">
      <alignment vertical="center" wrapText="1"/>
    </xf>
    <xf numFmtId="0" fontId="71" fillId="0" borderId="15" xfId="0" applyFont="1" applyFill="1" applyBorder="1" applyAlignment="1">
      <alignment horizontal="center" vertical="center" wrapText="1"/>
    </xf>
    <xf numFmtId="0" fontId="71" fillId="0" borderId="15" xfId="0" applyFont="1" applyFill="1" applyBorder="1" applyAlignment="1">
      <alignment horizontal="center" vertical="center"/>
    </xf>
    <xf numFmtId="0" fontId="71" fillId="0" borderId="0" xfId="0" applyFont="1" applyFill="1" applyAlignment="1">
      <alignment vertical="center"/>
    </xf>
    <xf numFmtId="0" fontId="71" fillId="36" borderId="15" xfId="0" applyFont="1" applyFill="1" applyBorder="1" applyAlignment="1">
      <alignment vertical="center" wrapText="1"/>
    </xf>
    <xf numFmtId="0" fontId="71" fillId="36" borderId="15" xfId="0" applyFont="1" applyFill="1" applyBorder="1" applyAlignment="1">
      <alignment horizontal="center" vertical="center" wrapText="1"/>
    </xf>
    <xf numFmtId="0" fontId="71" fillId="36" borderId="15" xfId="0" applyFont="1" applyFill="1" applyBorder="1" applyAlignment="1">
      <alignment horizontal="center" vertical="center"/>
    </xf>
    <xf numFmtId="3" fontId="71" fillId="36" borderId="15" xfId="0" applyNumberFormat="1" applyFont="1" applyFill="1" applyBorder="1" applyAlignment="1">
      <alignment vertical="center"/>
    </xf>
    <xf numFmtId="3" fontId="70" fillId="0" borderId="15" xfId="0" applyNumberFormat="1" applyFont="1" applyFill="1" applyBorder="1" applyAlignment="1">
      <alignment horizontal="right" vertical="center"/>
    </xf>
    <xf numFmtId="4" fontId="70" fillId="0" borderId="15" xfId="0" applyNumberFormat="1" applyFont="1" applyFill="1" applyBorder="1" applyAlignment="1">
      <alignment horizontal="right" vertical="center"/>
    </xf>
    <xf numFmtId="0" fontId="71" fillId="0" borderId="15" xfId="0" applyFont="1" applyFill="1" applyBorder="1" applyAlignment="1">
      <alignment horizontal="left" vertical="center"/>
    </xf>
    <xf numFmtId="49" fontId="71" fillId="0" borderId="15" xfId="0" applyNumberFormat="1" applyFont="1" applyFill="1" applyBorder="1" applyAlignment="1">
      <alignment horizontal="center" vertical="center"/>
    </xf>
    <xf numFmtId="3" fontId="71" fillId="0" borderId="15" xfId="0" applyNumberFormat="1" applyFont="1" applyFill="1" applyBorder="1" applyAlignment="1">
      <alignment horizontal="right" vertical="center"/>
    </xf>
    <xf numFmtId="4" fontId="71" fillId="0" borderId="15" xfId="0" applyNumberFormat="1" applyFont="1" applyFill="1" applyBorder="1" applyAlignment="1">
      <alignment horizontal="right" vertical="center"/>
    </xf>
    <xf numFmtId="0" fontId="71" fillId="0" borderId="0" xfId="0" applyFont="1" applyFill="1" applyAlignment="1">
      <alignment horizontal="center" vertical="center"/>
    </xf>
    <xf numFmtId="49" fontId="71" fillId="0" borderId="15" xfId="0" applyNumberFormat="1" applyFont="1" applyFill="1" applyBorder="1" applyAlignment="1">
      <alignment vertical="center" wrapText="1"/>
    </xf>
    <xf numFmtId="4" fontId="71" fillId="39" borderId="15" xfId="0" applyNumberFormat="1" applyFont="1" applyFill="1" applyBorder="1" applyAlignment="1">
      <alignment vertical="center"/>
    </xf>
    <xf numFmtId="3" fontId="71" fillId="37" borderId="15" xfId="0" applyNumberFormat="1" applyFont="1" applyFill="1" applyBorder="1" applyAlignment="1">
      <alignment vertical="center"/>
    </xf>
    <xf numFmtId="0" fontId="71" fillId="0" borderId="15" xfId="52" applyFont="1" applyFill="1" applyBorder="1" applyAlignment="1">
      <alignment horizontal="left" vertical="center" wrapText="1"/>
      <protection/>
    </xf>
    <xf numFmtId="0" fontId="71" fillId="0" borderId="15" xfId="52" applyFont="1" applyFill="1" applyBorder="1" applyAlignment="1">
      <alignment horizontal="center" vertical="center"/>
      <protection/>
    </xf>
    <xf numFmtId="49" fontId="71" fillId="39" borderId="15" xfId="0" applyNumberFormat="1" applyFont="1" applyFill="1" applyBorder="1" applyAlignment="1">
      <alignment vertical="center" wrapText="1"/>
    </xf>
    <xf numFmtId="0" fontId="71" fillId="39" borderId="15" xfId="0" applyFont="1" applyFill="1" applyBorder="1" applyAlignment="1">
      <alignment vertical="center" wrapText="1"/>
    </xf>
    <xf numFmtId="4" fontId="71" fillId="36" borderId="15" xfId="0" applyNumberFormat="1" applyFont="1" applyFill="1" applyBorder="1" applyAlignment="1">
      <alignment vertical="center"/>
    </xf>
    <xf numFmtId="0" fontId="71" fillId="39" borderId="15" xfId="0" applyFont="1" applyFill="1" applyBorder="1" applyAlignment="1">
      <alignment horizontal="left" vertical="center"/>
    </xf>
    <xf numFmtId="0" fontId="71" fillId="39" borderId="15" xfId="0" applyFont="1" applyFill="1" applyBorder="1" applyAlignment="1">
      <alignment vertical="center" wrapText="1"/>
    </xf>
    <xf numFmtId="0" fontId="71" fillId="39" borderId="15" xfId="0" applyFont="1" applyFill="1" applyBorder="1" applyAlignment="1">
      <alignment horizontal="center" vertical="center" wrapText="1"/>
    </xf>
    <xf numFmtId="0" fontId="71" fillId="39" borderId="15" xfId="0" applyFont="1" applyFill="1" applyBorder="1" applyAlignment="1">
      <alignment horizontal="center" vertical="center"/>
    </xf>
    <xf numFmtId="0" fontId="73" fillId="0" borderId="0" xfId="0" applyFont="1" applyAlignment="1">
      <alignment vertical="center"/>
    </xf>
    <xf numFmtId="0" fontId="73" fillId="0" borderId="0" xfId="0" applyFont="1" applyFill="1" applyAlignment="1">
      <alignment vertical="center"/>
    </xf>
    <xf numFmtId="0" fontId="75" fillId="0" borderId="0" xfId="0" applyFont="1" applyAlignment="1">
      <alignment vertical="center"/>
    </xf>
    <xf numFmtId="0" fontId="76" fillId="0" borderId="0" xfId="0" applyFont="1" applyAlignment="1">
      <alignment horizontal="left" vertical="center"/>
    </xf>
    <xf numFmtId="0" fontId="75" fillId="0" borderId="0" xfId="0" applyFont="1" applyAlignment="1">
      <alignment vertical="center" wrapText="1"/>
    </xf>
    <xf numFmtId="0" fontId="75" fillId="0" borderId="0" xfId="0" applyFont="1" applyFill="1" applyAlignment="1">
      <alignment vertical="center"/>
    </xf>
    <xf numFmtId="0" fontId="77" fillId="0" borderId="0" xfId="0" applyFont="1" applyAlignment="1">
      <alignment vertical="center"/>
    </xf>
    <xf numFmtId="0" fontId="78" fillId="0" borderId="0" xfId="0" applyFont="1" applyAlignment="1">
      <alignment horizontal="left" vertical="center"/>
    </xf>
    <xf numFmtId="0" fontId="77" fillId="0" borderId="0" xfId="0" applyFont="1" applyAlignment="1">
      <alignment vertical="center" wrapText="1"/>
    </xf>
    <xf numFmtId="0" fontId="77" fillId="0" borderId="0" xfId="0" applyFont="1" applyFill="1" applyAlignment="1">
      <alignment vertical="center"/>
    </xf>
    <xf numFmtId="0" fontId="11" fillId="39" borderId="0" xfId="64" applyFont="1" applyFill="1" applyAlignment="1">
      <alignment horizontal="right" vertical="center"/>
      <protection/>
    </xf>
    <xf numFmtId="0" fontId="10" fillId="39" borderId="15" xfId="0" applyFont="1" applyFill="1" applyBorder="1" applyAlignment="1">
      <alignment vertical="center" wrapText="1"/>
    </xf>
    <xf numFmtId="4" fontId="11" fillId="37" borderId="54" xfId="0" applyNumberFormat="1" applyFont="1" applyFill="1" applyBorder="1" applyAlignment="1">
      <alignment horizontal="right" vertical="center"/>
    </xf>
    <xf numFmtId="4" fontId="56" fillId="36" borderId="54" xfId="0" applyNumberFormat="1" applyFont="1" applyFill="1" applyBorder="1" applyAlignment="1">
      <alignment horizontal="right" vertical="center"/>
    </xf>
    <xf numFmtId="4" fontId="10" fillId="37" borderId="10" xfId="0" applyNumberFormat="1" applyFont="1" applyFill="1" applyBorder="1" applyAlignment="1">
      <alignment vertical="center"/>
    </xf>
    <xf numFmtId="4" fontId="11" fillId="37" borderId="15" xfId="0" applyNumberFormat="1" applyFont="1" applyFill="1" applyBorder="1" applyAlignment="1">
      <alignment horizontal="right" vertical="center"/>
    </xf>
    <xf numFmtId="168" fontId="11" fillId="37" borderId="19" xfId="0" applyNumberFormat="1" applyFont="1" applyFill="1" applyBorder="1" applyAlignment="1">
      <alignment vertical="center"/>
    </xf>
    <xf numFmtId="4" fontId="11" fillId="37" borderId="15" xfId="0" applyNumberFormat="1" applyFont="1" applyFill="1" applyBorder="1" applyAlignment="1">
      <alignment vertical="center"/>
    </xf>
    <xf numFmtId="168" fontId="11" fillId="37" borderId="16" xfId="0" applyNumberFormat="1" applyFont="1" applyFill="1" applyBorder="1" applyAlignment="1">
      <alignment horizontal="right" vertical="center"/>
    </xf>
    <xf numFmtId="4" fontId="11" fillId="42" borderId="32" xfId="0" applyNumberFormat="1" applyFont="1" applyFill="1" applyBorder="1" applyAlignment="1">
      <alignment vertical="center"/>
    </xf>
    <xf numFmtId="4" fontId="15" fillId="42" borderId="10" xfId="0" applyNumberFormat="1" applyFont="1" applyFill="1" applyBorder="1" applyAlignment="1">
      <alignment vertical="center"/>
    </xf>
    <xf numFmtId="4" fontId="11" fillId="42" borderId="15" xfId="0" applyNumberFormat="1" applyFont="1" applyFill="1" applyBorder="1" applyAlignment="1">
      <alignment vertical="center"/>
    </xf>
    <xf numFmtId="4" fontId="11" fillId="42" borderId="29" xfId="0" applyNumberFormat="1" applyFont="1" applyFill="1" applyBorder="1" applyAlignment="1">
      <alignment vertical="top"/>
    </xf>
    <xf numFmtId="4" fontId="11" fillId="42" borderId="32" xfId="0" applyNumberFormat="1" applyFont="1" applyFill="1" applyBorder="1" applyAlignment="1">
      <alignment horizontal="right" vertical="center"/>
    </xf>
    <xf numFmtId="0" fontId="11" fillId="36" borderId="18" xfId="64" applyFont="1" applyFill="1" applyBorder="1" applyAlignment="1">
      <alignment horizontal="center" vertical="center"/>
      <protection/>
    </xf>
    <xf numFmtId="0" fontId="11" fillId="36" borderId="45" xfId="64" applyFont="1" applyFill="1" applyBorder="1" applyAlignment="1">
      <alignment horizontal="center" vertical="center"/>
      <protection/>
    </xf>
    <xf numFmtId="0" fontId="11" fillId="0" borderId="0" xfId="64" applyFont="1" applyAlignment="1">
      <alignment horizontal="center" vertical="center" wrapText="1"/>
      <protection/>
    </xf>
    <xf numFmtId="4" fontId="11" fillId="36" borderId="44" xfId="64" applyNumberFormat="1" applyFont="1" applyFill="1" applyBorder="1" applyAlignment="1">
      <alignment horizontal="center" vertical="center"/>
      <protection/>
    </xf>
    <xf numFmtId="4" fontId="11" fillId="36" borderId="83" xfId="64" applyNumberFormat="1" applyFont="1" applyFill="1" applyBorder="1" applyAlignment="1">
      <alignment horizontal="center" vertical="center"/>
      <protection/>
    </xf>
    <xf numFmtId="0" fontId="11" fillId="34" borderId="63" xfId="64" applyFont="1" applyFill="1" applyBorder="1" applyAlignment="1">
      <alignment horizontal="center" vertical="center" wrapText="1"/>
      <protection/>
    </xf>
    <xf numFmtId="0" fontId="11" fillId="34" borderId="24" xfId="64" applyFont="1" applyFill="1" applyBorder="1" applyAlignment="1">
      <alignment horizontal="center" vertical="center" wrapText="1"/>
      <protection/>
    </xf>
    <xf numFmtId="0" fontId="11" fillId="34" borderId="64" xfId="64" applyFont="1" applyFill="1" applyBorder="1" applyAlignment="1">
      <alignment horizontal="center" vertical="center" wrapText="1"/>
      <protection/>
    </xf>
    <xf numFmtId="0" fontId="11" fillId="34" borderId="19" xfId="64" applyFont="1" applyFill="1" applyBorder="1" applyAlignment="1">
      <alignment horizontal="center" vertical="center" wrapText="1"/>
      <protection/>
    </xf>
    <xf numFmtId="0" fontId="11" fillId="34" borderId="54" xfId="64" applyFont="1" applyFill="1" applyBorder="1" applyAlignment="1">
      <alignment horizontal="center" vertical="center" wrapText="1"/>
      <protection/>
    </xf>
    <xf numFmtId="0" fontId="11" fillId="34" borderId="84" xfId="64" applyFont="1" applyFill="1" applyBorder="1" applyAlignment="1">
      <alignment horizontal="center" vertical="center" wrapText="1"/>
      <protection/>
    </xf>
    <xf numFmtId="4" fontId="11" fillId="36" borderId="45" xfId="64" applyNumberFormat="1" applyFont="1" applyFill="1" applyBorder="1" applyAlignment="1">
      <alignment horizontal="center" vertical="center"/>
      <protection/>
    </xf>
    <xf numFmtId="0" fontId="11" fillId="34" borderId="85" xfId="64" applyFont="1" applyFill="1" applyBorder="1" applyAlignment="1">
      <alignment horizontal="center" vertical="center" wrapText="1"/>
      <protection/>
    </xf>
    <xf numFmtId="4" fontId="10" fillId="0" borderId="0" xfId="64" applyNumberFormat="1" applyFont="1" applyAlignment="1">
      <alignment horizontal="center" vertical="center"/>
      <protection/>
    </xf>
    <xf numFmtId="4" fontId="11" fillId="37" borderId="55" xfId="64" applyNumberFormat="1" applyFont="1" applyFill="1" applyBorder="1" applyAlignment="1">
      <alignment horizontal="center" vertical="center"/>
      <protection/>
    </xf>
    <xf numFmtId="4" fontId="11" fillId="37" borderId="68" xfId="64" applyNumberFormat="1" applyFont="1" applyFill="1" applyBorder="1" applyAlignment="1">
      <alignment horizontal="center" vertical="center"/>
      <protection/>
    </xf>
    <xf numFmtId="0" fontId="11" fillId="37" borderId="82" xfId="64" applyFont="1" applyFill="1" applyBorder="1" applyAlignment="1">
      <alignment horizontal="center" vertical="center"/>
      <protection/>
    </xf>
    <xf numFmtId="0" fontId="11" fillId="37" borderId="68" xfId="64" applyFont="1" applyFill="1" applyBorder="1" applyAlignment="1">
      <alignment horizontal="center" vertical="center"/>
      <protection/>
    </xf>
    <xf numFmtId="0" fontId="10" fillId="0" borderId="0" xfId="64" applyFont="1" applyAlignment="1">
      <alignment horizontal="center" vertical="center"/>
      <protection/>
    </xf>
    <xf numFmtId="4" fontId="11" fillId="37" borderId="86" xfId="64" applyNumberFormat="1" applyFont="1" applyFill="1" applyBorder="1" applyAlignment="1">
      <alignment horizontal="center" vertical="center"/>
      <protection/>
    </xf>
    <xf numFmtId="0" fontId="11" fillId="37" borderId="48" xfId="64" applyFont="1" applyFill="1" applyBorder="1" applyAlignment="1">
      <alignment horizontal="center" vertical="center"/>
      <protection/>
    </xf>
    <xf numFmtId="0" fontId="11" fillId="37" borderId="49" xfId="64" applyFont="1" applyFill="1" applyBorder="1" applyAlignment="1">
      <alignment horizontal="center" vertical="center"/>
      <protection/>
    </xf>
    <xf numFmtId="0" fontId="11" fillId="35" borderId="64" xfId="64" applyFont="1" applyFill="1" applyBorder="1" applyAlignment="1">
      <alignment horizontal="center" vertical="center" wrapText="1"/>
      <protection/>
    </xf>
    <xf numFmtId="0" fontId="11" fillId="35" borderId="19" xfId="64" applyFont="1" applyFill="1" applyBorder="1" applyAlignment="1">
      <alignment horizontal="center" vertical="center" wrapText="1"/>
      <protection/>
    </xf>
    <xf numFmtId="4" fontId="11" fillId="37" borderId="44" xfId="64" applyNumberFormat="1" applyFont="1" applyFill="1" applyBorder="1" applyAlignment="1">
      <alignment horizontal="center" vertical="center"/>
      <protection/>
    </xf>
    <xf numFmtId="4" fontId="11" fillId="37" borderId="83" xfId="64" applyNumberFormat="1" applyFont="1" applyFill="1" applyBorder="1" applyAlignment="1">
      <alignment horizontal="center" vertical="center"/>
      <protection/>
    </xf>
    <xf numFmtId="0" fontId="11" fillId="35" borderId="54" xfId="64" applyFont="1" applyFill="1" applyBorder="1" applyAlignment="1">
      <alignment horizontal="center" vertical="center" wrapText="1"/>
      <protection/>
    </xf>
    <xf numFmtId="0" fontId="11" fillId="35" borderId="84" xfId="64" applyFont="1" applyFill="1" applyBorder="1" applyAlignment="1">
      <alignment horizontal="center" vertical="center" wrapText="1"/>
      <protection/>
    </xf>
    <xf numFmtId="4" fontId="11" fillId="37" borderId="45" xfId="64" applyNumberFormat="1" applyFont="1" applyFill="1" applyBorder="1" applyAlignment="1">
      <alignment horizontal="center" vertical="center"/>
      <protection/>
    </xf>
    <xf numFmtId="0" fontId="11" fillId="36" borderId="17" xfId="64" applyFont="1" applyFill="1" applyBorder="1" applyAlignment="1">
      <alignment horizontal="center" vertical="center"/>
      <protection/>
    </xf>
    <xf numFmtId="0" fontId="11" fillId="36" borderId="15" xfId="64" applyFont="1" applyFill="1" applyBorder="1" applyAlignment="1">
      <alignment horizontal="center" vertical="center"/>
      <protection/>
    </xf>
    <xf numFmtId="0" fontId="11" fillId="37" borderId="17" xfId="64" applyFont="1" applyFill="1" applyBorder="1" applyAlignment="1">
      <alignment horizontal="center" vertical="center"/>
      <protection/>
    </xf>
    <xf numFmtId="0" fontId="11" fillId="37" borderId="15" xfId="64" applyFont="1" applyFill="1" applyBorder="1" applyAlignment="1">
      <alignment horizontal="center" vertical="center"/>
      <protection/>
    </xf>
    <xf numFmtId="0" fontId="11" fillId="35" borderId="85" xfId="64" applyFont="1" applyFill="1" applyBorder="1" applyAlignment="1">
      <alignment horizontal="center" vertical="center" wrapText="1"/>
      <protection/>
    </xf>
    <xf numFmtId="0" fontId="11" fillId="35" borderId="63" xfId="64" applyFont="1" applyFill="1" applyBorder="1" applyAlignment="1">
      <alignment horizontal="center" vertical="center" wrapText="1"/>
      <protection/>
    </xf>
    <xf numFmtId="0" fontId="11" fillId="35" borderId="24" xfId="64" applyFont="1" applyFill="1" applyBorder="1" applyAlignment="1">
      <alignment horizontal="center" vertical="center" wrapText="1"/>
      <protection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11" fillId="35" borderId="54" xfId="0" applyFont="1" applyFill="1" applyBorder="1" applyAlignment="1">
      <alignment vertical="center"/>
    </xf>
    <xf numFmtId="0" fontId="11" fillId="35" borderId="84" xfId="0" applyFont="1" applyFill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35" borderId="63" xfId="0" applyFont="1" applyFill="1" applyBorder="1" applyAlignment="1">
      <alignment horizontal="center" vertical="center"/>
    </xf>
    <xf numFmtId="0" fontId="11" fillId="35" borderId="24" xfId="0" applyFont="1" applyFill="1" applyBorder="1" applyAlignment="1">
      <alignment horizontal="center" vertical="center"/>
    </xf>
    <xf numFmtId="0" fontId="11" fillId="35" borderId="64" xfId="0" applyFont="1" applyFill="1" applyBorder="1" applyAlignment="1">
      <alignment horizontal="center" vertical="center"/>
    </xf>
    <xf numFmtId="0" fontId="11" fillId="35" borderId="19" xfId="0" applyFont="1" applyFill="1" applyBorder="1" applyAlignment="1">
      <alignment horizontal="center" vertical="center"/>
    </xf>
    <xf numFmtId="0" fontId="11" fillId="35" borderId="64" xfId="0" applyFont="1" applyFill="1" applyBorder="1" applyAlignment="1">
      <alignment horizontal="center" vertical="center" wrapText="1"/>
    </xf>
    <xf numFmtId="0" fontId="11" fillId="35" borderId="19" xfId="0" applyFont="1" applyFill="1" applyBorder="1" applyAlignment="1">
      <alignment horizontal="center" vertical="center" wrapText="1"/>
    </xf>
    <xf numFmtId="0" fontId="11" fillId="35" borderId="67" xfId="0" applyFont="1" applyFill="1" applyBorder="1" applyAlignment="1">
      <alignment horizontal="center" vertical="center"/>
    </xf>
    <xf numFmtId="0" fontId="11" fillId="35" borderId="2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right"/>
    </xf>
    <xf numFmtId="49" fontId="11" fillId="35" borderId="87" xfId="0" applyNumberFormat="1" applyFont="1" applyFill="1" applyBorder="1" applyAlignment="1">
      <alignment horizontal="center" vertical="center"/>
    </xf>
    <xf numFmtId="49" fontId="11" fillId="35" borderId="22" xfId="0" applyNumberFormat="1" applyFont="1" applyFill="1" applyBorder="1" applyAlignment="1">
      <alignment horizontal="center" vertical="center"/>
    </xf>
    <xf numFmtId="0" fontId="11" fillId="35" borderId="88" xfId="0" applyFont="1" applyFill="1" applyBorder="1" applyAlignment="1">
      <alignment horizontal="center" vertical="center"/>
    </xf>
    <xf numFmtId="0" fontId="11" fillId="35" borderId="27" xfId="0" applyFont="1" applyFill="1" applyBorder="1" applyAlignment="1">
      <alignment horizontal="center" vertical="center"/>
    </xf>
    <xf numFmtId="0" fontId="11" fillId="35" borderId="54" xfId="0" applyFont="1" applyFill="1" applyBorder="1" applyAlignment="1">
      <alignment horizontal="center" vertical="center"/>
    </xf>
    <xf numFmtId="0" fontId="11" fillId="35" borderId="33" xfId="0" applyFont="1" applyFill="1" applyBorder="1" applyAlignment="1">
      <alignment horizontal="center" vertical="center"/>
    </xf>
    <xf numFmtId="0" fontId="11" fillId="35" borderId="85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11" fillId="36" borderId="54" xfId="0" applyFont="1" applyFill="1" applyBorder="1" applyAlignment="1">
      <alignment horizontal="center" vertical="center"/>
    </xf>
    <xf numFmtId="0" fontId="11" fillId="36" borderId="84" xfId="0" applyFont="1" applyFill="1" applyBorder="1" applyAlignment="1">
      <alignment horizontal="center" vertical="center"/>
    </xf>
    <xf numFmtId="0" fontId="11" fillId="39" borderId="0" xfId="0" applyFont="1" applyFill="1" applyAlignment="1">
      <alignment horizontal="right"/>
    </xf>
    <xf numFmtId="49" fontId="11" fillId="36" borderId="51" xfId="0" applyNumberFormat="1" applyFont="1" applyFill="1" applyBorder="1" applyAlignment="1">
      <alignment horizontal="center" vertical="center"/>
    </xf>
    <xf numFmtId="49" fontId="11" fillId="36" borderId="33" xfId="0" applyNumberFormat="1" applyFont="1" applyFill="1" applyBorder="1" applyAlignment="1">
      <alignment horizontal="center" vertical="center"/>
    </xf>
    <xf numFmtId="49" fontId="11" fillId="36" borderId="84" xfId="0" applyNumberFormat="1" applyFont="1" applyFill="1" applyBorder="1" applyAlignment="1">
      <alignment horizontal="center" vertical="center"/>
    </xf>
    <xf numFmtId="49" fontId="11" fillId="37" borderId="89" xfId="0" applyNumberFormat="1" applyFont="1" applyFill="1" applyBorder="1" applyAlignment="1">
      <alignment horizontal="center" vertical="center"/>
    </xf>
    <xf numFmtId="49" fontId="11" fillId="37" borderId="90" xfId="0" applyNumberFormat="1" applyFont="1" applyFill="1" applyBorder="1" applyAlignment="1">
      <alignment horizontal="center" vertical="center"/>
    </xf>
    <xf numFmtId="49" fontId="11" fillId="37" borderId="91" xfId="0" applyNumberFormat="1" applyFont="1" applyFill="1" applyBorder="1" applyAlignment="1">
      <alignment horizontal="center" vertical="center"/>
    </xf>
    <xf numFmtId="49" fontId="11" fillId="36" borderId="22" xfId="0" applyNumberFormat="1" applyFont="1" applyFill="1" applyBorder="1" applyAlignment="1">
      <alignment horizontal="center" vertical="center"/>
    </xf>
    <xf numFmtId="49" fontId="11" fillId="36" borderId="23" xfId="0" applyNumberFormat="1" applyFont="1" applyFill="1" applyBorder="1" applyAlignment="1">
      <alignment horizontal="center" vertical="center"/>
    </xf>
    <xf numFmtId="49" fontId="11" fillId="36" borderId="26" xfId="0" applyNumberFormat="1" applyFont="1" applyFill="1" applyBorder="1" applyAlignment="1">
      <alignment horizontal="center" vertical="center"/>
    </xf>
    <xf numFmtId="4" fontId="13" fillId="0" borderId="10" xfId="0" applyNumberFormat="1" applyFont="1" applyFill="1" applyBorder="1" applyAlignment="1">
      <alignment horizontal="right" vertical="top"/>
    </xf>
    <xf numFmtId="0" fontId="11" fillId="0" borderId="0" xfId="0" applyFont="1" applyBorder="1" applyAlignment="1">
      <alignment horizontal="center" vertical="center" wrapText="1"/>
    </xf>
    <xf numFmtId="49" fontId="11" fillId="36" borderId="18" xfId="0" applyNumberFormat="1" applyFont="1" applyFill="1" applyBorder="1" applyAlignment="1">
      <alignment horizontal="center" vertical="center"/>
    </xf>
    <xf numFmtId="49" fontId="11" fillId="36" borderId="38" xfId="0" applyNumberFormat="1" applyFont="1" applyFill="1" applyBorder="1" applyAlignment="1">
      <alignment horizontal="center" vertical="center"/>
    </xf>
    <xf numFmtId="49" fontId="11" fillId="36" borderId="45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11" fillId="0" borderId="0" xfId="0" applyFont="1" applyAlignment="1" applyProtection="1">
      <alignment horizontal="center"/>
      <protection hidden="1"/>
    </xf>
    <xf numFmtId="0" fontId="36" fillId="0" borderId="13" xfId="0" applyFont="1" applyBorder="1" applyAlignment="1">
      <alignment horizontal="center" vertical="center"/>
    </xf>
    <xf numFmtId="0" fontId="47" fillId="0" borderId="13" xfId="0" applyFont="1" applyFill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11" fillId="39" borderId="0" xfId="0" applyFont="1" applyFill="1" applyAlignment="1">
      <alignment horizontal="right" vertical="center"/>
    </xf>
    <xf numFmtId="49" fontId="11" fillId="36" borderId="24" xfId="0" applyNumberFormat="1" applyFont="1" applyFill="1" applyBorder="1" applyAlignment="1">
      <alignment horizontal="center" vertical="center"/>
    </xf>
    <xf numFmtId="49" fontId="11" fillId="36" borderId="19" xfId="0" applyNumberFormat="1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4" fontId="11" fillId="39" borderId="0" xfId="0" applyNumberFormat="1" applyFont="1" applyFill="1" applyAlignment="1">
      <alignment horizontal="right" vertical="center"/>
    </xf>
    <xf numFmtId="0" fontId="11" fillId="39" borderId="13" xfId="0" applyFont="1" applyFill="1" applyBorder="1" applyAlignment="1">
      <alignment horizontal="left" vertical="center" wrapText="1"/>
    </xf>
    <xf numFmtId="0" fontId="12" fillId="35" borderId="51" xfId="0" applyFont="1" applyFill="1" applyBorder="1" applyAlignment="1">
      <alignment horizontal="center" vertical="center"/>
    </xf>
    <xf numFmtId="0" fontId="12" fillId="35" borderId="33" xfId="0" applyFont="1" applyFill="1" applyBorder="1" applyAlignment="1">
      <alignment horizontal="center" vertical="center"/>
    </xf>
    <xf numFmtId="0" fontId="12" fillId="35" borderId="84" xfId="0" applyFont="1" applyFill="1" applyBorder="1" applyAlignment="1">
      <alignment horizontal="center" vertical="center"/>
    </xf>
    <xf numFmtId="0" fontId="11" fillId="0" borderId="60" xfId="0" applyFont="1" applyBorder="1" applyAlignment="1">
      <alignment horizontal="left" vertical="center" wrapText="1"/>
    </xf>
    <xf numFmtId="4" fontId="11" fillId="0" borderId="0" xfId="0" applyNumberFormat="1" applyFont="1" applyAlignment="1">
      <alignment horizontal="right" vertical="center"/>
    </xf>
    <xf numFmtId="0" fontId="11" fillId="36" borderId="28" xfId="0" applyFont="1" applyFill="1" applyBorder="1" applyAlignment="1">
      <alignment horizontal="center" vertical="center"/>
    </xf>
    <xf numFmtId="0" fontId="11" fillId="36" borderId="60" xfId="0" applyFont="1" applyFill="1" applyBorder="1" applyAlignment="1">
      <alignment horizontal="center" vertical="center"/>
    </xf>
    <xf numFmtId="0" fontId="11" fillId="36" borderId="92" xfId="0" applyFont="1" applyFill="1" applyBorder="1" applyAlignment="1">
      <alignment horizontal="center" vertical="center"/>
    </xf>
    <xf numFmtId="0" fontId="10" fillId="0" borderId="93" xfId="0" applyFont="1" applyFill="1" applyBorder="1" applyAlignment="1">
      <alignment horizontal="left" vertical="center" wrapText="1"/>
    </xf>
    <xf numFmtId="0" fontId="14" fillId="37" borderId="94" xfId="0" applyFont="1" applyFill="1" applyBorder="1" applyAlignment="1">
      <alignment horizontal="left" vertical="center"/>
    </xf>
    <xf numFmtId="0" fontId="14" fillId="37" borderId="59" xfId="0" applyFont="1" applyFill="1" applyBorder="1" applyAlignment="1">
      <alignment horizontal="left" vertical="center"/>
    </xf>
    <xf numFmtId="0" fontId="14" fillId="37" borderId="95" xfId="0" applyFont="1" applyFill="1" applyBorder="1" applyAlignment="1">
      <alignment horizontal="left" vertical="center"/>
    </xf>
    <xf numFmtId="0" fontId="11" fillId="37" borderId="28" xfId="0" applyFont="1" applyFill="1" applyBorder="1" applyAlignment="1">
      <alignment horizontal="left" vertical="center"/>
    </xf>
    <xf numFmtId="0" fontId="11" fillId="37" borderId="60" xfId="0" applyFont="1" applyFill="1" applyBorder="1" applyAlignment="1">
      <alignment horizontal="left" vertical="center"/>
    </xf>
    <xf numFmtId="0" fontId="11" fillId="37" borderId="92" xfId="0" applyFont="1" applyFill="1" applyBorder="1" applyAlignment="1">
      <alignment horizontal="left" vertical="center"/>
    </xf>
    <xf numFmtId="0" fontId="14" fillId="37" borderId="22" xfId="0" applyFont="1" applyFill="1" applyBorder="1" applyAlignment="1">
      <alignment horizontal="left" vertical="center"/>
    </xf>
    <xf numFmtId="0" fontId="14" fillId="37" borderId="23" xfId="0" applyFont="1" applyFill="1" applyBorder="1" applyAlignment="1">
      <alignment horizontal="left" vertical="center"/>
    </xf>
    <xf numFmtId="0" fontId="14" fillId="37" borderId="26" xfId="0" applyFont="1" applyFill="1" applyBorder="1" applyAlignment="1">
      <alignment horizontal="left" vertical="center"/>
    </xf>
    <xf numFmtId="0" fontId="39" fillId="36" borderId="28" xfId="0" applyFont="1" applyFill="1" applyBorder="1" applyAlignment="1">
      <alignment horizontal="center" vertical="center"/>
    </xf>
    <xf numFmtId="0" fontId="39" fillId="36" borderId="60" xfId="0" applyFont="1" applyFill="1" applyBorder="1" applyAlignment="1">
      <alignment horizontal="center" vertical="center"/>
    </xf>
    <xf numFmtId="0" fontId="39" fillId="36" borderId="92" xfId="0" applyFont="1" applyFill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60" xfId="0" applyFont="1" applyBorder="1" applyAlignment="1">
      <alignment horizontal="left" wrapText="1"/>
    </xf>
    <xf numFmtId="0" fontId="11" fillId="0" borderId="60" xfId="0" applyFont="1" applyBorder="1" applyAlignment="1">
      <alignment horizontal="left"/>
    </xf>
    <xf numFmtId="0" fontId="26" fillId="35" borderId="32" xfId="0" applyFont="1" applyFill="1" applyBorder="1" applyAlignment="1">
      <alignment horizontal="center" vertical="center"/>
    </xf>
    <xf numFmtId="0" fontId="26" fillId="35" borderId="15" xfId="0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49" fontId="10" fillId="0" borderId="93" xfId="0" applyNumberFormat="1" applyFont="1" applyFill="1" applyBorder="1" applyAlignment="1">
      <alignment horizontal="left" vertical="center" wrapText="1"/>
    </xf>
    <xf numFmtId="49" fontId="11" fillId="37" borderId="56" xfId="0" applyNumberFormat="1" applyFont="1" applyFill="1" applyBorder="1" applyAlignment="1">
      <alignment horizontal="center" vertical="center"/>
    </xf>
    <xf numFmtId="49" fontId="11" fillId="37" borderId="3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0" fontId="11" fillId="35" borderId="32" xfId="0" applyFont="1" applyFill="1" applyBorder="1" applyAlignment="1">
      <alignment horizontal="center" vertical="center" wrapText="1"/>
    </xf>
    <xf numFmtId="0" fontId="11" fillId="35" borderId="32" xfId="0" applyFont="1" applyFill="1" applyBorder="1" applyAlignment="1">
      <alignment horizontal="center" vertical="center"/>
    </xf>
    <xf numFmtId="0" fontId="11" fillId="35" borderId="34" xfId="0" applyFont="1" applyFill="1" applyBorder="1" applyAlignment="1">
      <alignment horizontal="center" vertical="center"/>
    </xf>
    <xf numFmtId="49" fontId="11" fillId="35" borderId="31" xfId="0" applyNumberFormat="1" applyFont="1" applyFill="1" applyBorder="1" applyAlignment="1">
      <alignment horizontal="center" vertical="center"/>
    </xf>
    <xf numFmtId="49" fontId="11" fillId="35" borderId="17" xfId="0" applyNumberFormat="1" applyFont="1" applyFill="1" applyBorder="1" applyAlignment="1">
      <alignment horizontal="center" vertical="center"/>
    </xf>
    <xf numFmtId="49" fontId="26" fillId="35" borderId="84" xfId="0" applyNumberFormat="1" applyFont="1" applyFill="1" applyBorder="1" applyAlignment="1">
      <alignment horizontal="center" vertical="center"/>
    </xf>
    <xf numFmtId="49" fontId="26" fillId="35" borderId="45" xfId="0" applyNumberFormat="1" applyFont="1" applyFill="1" applyBorder="1" applyAlignment="1">
      <alignment horizontal="center" vertical="center"/>
    </xf>
    <xf numFmtId="0" fontId="11" fillId="35" borderId="44" xfId="0" applyFont="1" applyFill="1" applyBorder="1" applyAlignment="1">
      <alignment horizontal="center" vertical="center" wrapText="1"/>
    </xf>
    <xf numFmtId="0" fontId="11" fillId="35" borderId="38" xfId="0" applyFont="1" applyFill="1" applyBorder="1" applyAlignment="1">
      <alignment horizontal="center" vertical="center" wrapText="1"/>
    </xf>
    <xf numFmtId="0" fontId="11" fillId="35" borderId="45" xfId="0" applyFont="1" applyFill="1" applyBorder="1" applyAlignment="1">
      <alignment horizontal="center" vertical="center" wrapText="1"/>
    </xf>
    <xf numFmtId="0" fontId="11" fillId="35" borderId="15" xfId="0" applyFont="1" applyFill="1" applyBorder="1" applyAlignment="1">
      <alignment horizontal="center" vertical="center" wrapText="1"/>
    </xf>
    <xf numFmtId="0" fontId="11" fillId="35" borderId="53" xfId="0" applyFont="1" applyFill="1" applyBorder="1" applyAlignment="1">
      <alignment horizontal="center" vertical="center" wrapText="1"/>
    </xf>
    <xf numFmtId="0" fontId="11" fillId="35" borderId="41" xfId="0" applyFont="1" applyFill="1" applyBorder="1" applyAlignment="1">
      <alignment horizontal="center" vertical="center" wrapText="1"/>
    </xf>
    <xf numFmtId="0" fontId="11" fillId="35" borderId="20" xfId="0" applyFont="1" applyFill="1" applyBorder="1" applyAlignment="1">
      <alignment horizontal="center" vertical="center" wrapText="1"/>
    </xf>
    <xf numFmtId="0" fontId="11" fillId="35" borderId="96" xfId="0" applyFont="1" applyFill="1" applyBorder="1" applyAlignment="1">
      <alignment horizontal="center" vertical="center" wrapText="1"/>
    </xf>
    <xf numFmtId="0" fontId="11" fillId="35" borderId="26" xfId="0" applyFont="1" applyFill="1" applyBorder="1" applyAlignment="1">
      <alignment horizontal="center" vertical="center" wrapText="1"/>
    </xf>
    <xf numFmtId="0" fontId="11" fillId="35" borderId="36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35" borderId="31" xfId="0" applyFont="1" applyFill="1" applyBorder="1" applyAlignment="1">
      <alignment horizontal="center" vertical="center"/>
    </xf>
    <xf numFmtId="0" fontId="11" fillId="35" borderId="17" xfId="0" applyFont="1" applyFill="1" applyBorder="1" applyAlignment="1">
      <alignment horizontal="center" vertical="center"/>
    </xf>
    <xf numFmtId="0" fontId="11" fillId="35" borderId="15" xfId="0" applyFont="1" applyFill="1" applyBorder="1" applyAlignment="1">
      <alignment horizontal="center" vertical="center"/>
    </xf>
    <xf numFmtId="0" fontId="11" fillId="35" borderId="54" xfId="0" applyFont="1" applyFill="1" applyBorder="1" applyAlignment="1">
      <alignment horizontal="center" vertical="center" wrapText="1"/>
    </xf>
    <xf numFmtId="0" fontId="11" fillId="35" borderId="34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50" fillId="37" borderId="0" xfId="0" applyFont="1" applyFill="1" applyAlignment="1">
      <alignment horizontal="center" vertical="center"/>
    </xf>
    <xf numFmtId="0" fontId="11" fillId="0" borderId="83" xfId="0" applyFont="1" applyBorder="1" applyAlignment="1">
      <alignment horizontal="center" vertical="center"/>
    </xf>
    <xf numFmtId="0" fontId="10" fillId="39" borderId="15" xfId="59" applyFont="1" applyFill="1" applyBorder="1" applyAlignment="1">
      <alignment horizontal="center" vertical="center" wrapText="1"/>
      <protection/>
    </xf>
    <xf numFmtId="0" fontId="10" fillId="0" borderId="15" xfId="59" applyFont="1" applyBorder="1" applyAlignment="1">
      <alignment horizontal="center" vertical="center" wrapText="1"/>
      <protection/>
    </xf>
    <xf numFmtId="0" fontId="10" fillId="0" borderId="36" xfId="59" applyFont="1" applyBorder="1" applyAlignment="1">
      <alignment horizontal="center" vertical="center" wrapText="1"/>
      <protection/>
    </xf>
    <xf numFmtId="0" fontId="10" fillId="0" borderId="10" xfId="59" applyFont="1" applyBorder="1" applyAlignment="1">
      <alignment horizontal="center" vertical="center" wrapText="1"/>
      <protection/>
    </xf>
    <xf numFmtId="0" fontId="10" fillId="0" borderId="19" xfId="59" applyFont="1" applyBorder="1" applyAlignment="1">
      <alignment horizontal="center" vertical="center" wrapText="1"/>
      <protection/>
    </xf>
    <xf numFmtId="0" fontId="52" fillId="39" borderId="36" xfId="59" applyFont="1" applyFill="1" applyBorder="1" applyAlignment="1">
      <alignment horizontal="center" vertical="center"/>
      <protection/>
    </xf>
    <xf numFmtId="0" fontId="52" fillId="39" borderId="10" xfId="59" applyFont="1" applyFill="1" applyBorder="1" applyAlignment="1">
      <alignment horizontal="center" vertical="center"/>
      <protection/>
    </xf>
    <xf numFmtId="0" fontId="52" fillId="39" borderId="19" xfId="59" applyFont="1" applyFill="1" applyBorder="1" applyAlignment="1">
      <alignment horizontal="center" vertical="center"/>
      <protection/>
    </xf>
    <xf numFmtId="0" fontId="10" fillId="39" borderId="15" xfId="59" applyFont="1" applyFill="1" applyBorder="1" applyAlignment="1">
      <alignment horizontal="center" vertical="center"/>
      <protection/>
    </xf>
    <xf numFmtId="0" fontId="11" fillId="37" borderId="15" xfId="59" applyFont="1" applyFill="1" applyBorder="1" applyAlignment="1">
      <alignment horizontal="center" vertical="center"/>
      <protection/>
    </xf>
    <xf numFmtId="0" fontId="10" fillId="39" borderId="36" xfId="59" applyFont="1" applyFill="1" applyBorder="1" applyAlignment="1">
      <alignment horizontal="center" vertical="center"/>
      <protection/>
    </xf>
    <xf numFmtId="0" fontId="10" fillId="39" borderId="10" xfId="59" applyFont="1" applyFill="1" applyBorder="1" applyAlignment="1">
      <alignment horizontal="center" vertical="center"/>
      <protection/>
    </xf>
    <xf numFmtId="0" fontId="10" fillId="39" borderId="19" xfId="59" applyFont="1" applyFill="1" applyBorder="1" applyAlignment="1">
      <alignment horizontal="center" vertical="center"/>
      <protection/>
    </xf>
    <xf numFmtId="0" fontId="10" fillId="39" borderId="36" xfId="59" applyFont="1" applyFill="1" applyBorder="1" applyAlignment="1">
      <alignment horizontal="center" vertical="center" wrapText="1"/>
      <protection/>
    </xf>
    <xf numFmtId="0" fontId="10" fillId="39" borderId="10" xfId="59" applyFont="1" applyFill="1" applyBorder="1" applyAlignment="1">
      <alignment horizontal="center" vertical="center" wrapText="1"/>
      <protection/>
    </xf>
    <xf numFmtId="0" fontId="10" fillId="39" borderId="19" xfId="59" applyFont="1" applyFill="1" applyBorder="1" applyAlignment="1">
      <alignment horizontal="center" vertical="center" wrapText="1"/>
      <protection/>
    </xf>
    <xf numFmtId="0" fontId="10" fillId="39" borderId="36" xfId="59" applyFont="1" applyFill="1" applyBorder="1" applyAlignment="1">
      <alignment horizontal="center" vertical="center" wrapText="1"/>
      <protection/>
    </xf>
    <xf numFmtId="0" fontId="10" fillId="39" borderId="10" xfId="59" applyFont="1" applyFill="1" applyBorder="1" applyAlignment="1">
      <alignment horizontal="center" vertical="center" wrapText="1"/>
      <protection/>
    </xf>
    <xf numFmtId="0" fontId="10" fillId="39" borderId="19" xfId="59" applyFont="1" applyFill="1" applyBorder="1" applyAlignment="1">
      <alignment horizontal="center" vertical="center" wrapText="1"/>
      <protection/>
    </xf>
    <xf numFmtId="0" fontId="11" fillId="0" borderId="15" xfId="59" applyFont="1" applyBorder="1" applyAlignment="1">
      <alignment horizontal="center" vertical="center"/>
      <protection/>
    </xf>
    <xf numFmtId="166" fontId="11" fillId="39" borderId="0" xfId="0" applyNumberFormat="1" applyFont="1" applyFill="1" applyAlignment="1">
      <alignment horizontal="right" vertical="center"/>
    </xf>
    <xf numFmtId="0" fontId="10" fillId="0" borderId="36" xfId="59" applyFont="1" applyBorder="1" applyAlignment="1">
      <alignment horizontal="center" vertical="center" wrapText="1"/>
      <protection/>
    </xf>
    <xf numFmtId="0" fontId="10" fillId="0" borderId="10" xfId="59" applyFont="1" applyBorder="1" applyAlignment="1">
      <alignment horizontal="center" vertical="center" wrapText="1"/>
      <protection/>
    </xf>
    <xf numFmtId="0" fontId="10" fillId="0" borderId="19" xfId="59" applyFont="1" applyBorder="1" applyAlignment="1">
      <alignment horizontal="center" vertical="center" wrapText="1"/>
      <protection/>
    </xf>
    <xf numFmtId="0" fontId="10" fillId="43" borderId="36" xfId="59" applyFont="1" applyFill="1" applyBorder="1" applyAlignment="1">
      <alignment horizontal="center" vertical="center" wrapText="1"/>
      <protection/>
    </xf>
    <xf numFmtId="0" fontId="10" fillId="43" borderId="10" xfId="59" applyFont="1" applyFill="1" applyBorder="1" applyAlignment="1">
      <alignment horizontal="center" vertical="center" wrapText="1"/>
      <protection/>
    </xf>
    <xf numFmtId="0" fontId="10" fillId="43" borderId="19" xfId="59" applyFont="1" applyFill="1" applyBorder="1" applyAlignment="1">
      <alignment horizontal="center" vertical="center" wrapText="1"/>
      <protection/>
    </xf>
    <xf numFmtId="166" fontId="11" fillId="0" borderId="15" xfId="59" applyNumberFormat="1" applyFont="1" applyBorder="1" applyAlignment="1">
      <alignment horizontal="center" vertical="center"/>
      <protection/>
    </xf>
    <xf numFmtId="0" fontId="10" fillId="0" borderId="36" xfId="59" applyFont="1" applyBorder="1" applyAlignment="1">
      <alignment horizontal="center" vertical="center"/>
      <protection/>
    </xf>
    <xf numFmtId="0" fontId="10" fillId="0" borderId="10" xfId="59" applyFont="1" applyBorder="1" applyAlignment="1">
      <alignment horizontal="center" vertical="center"/>
      <protection/>
    </xf>
    <xf numFmtId="0" fontId="10" fillId="0" borderId="19" xfId="59" applyFont="1" applyBorder="1" applyAlignment="1">
      <alignment horizontal="center" vertical="center"/>
      <protection/>
    </xf>
    <xf numFmtId="0" fontId="11" fillId="0" borderId="0" xfId="59" applyFont="1" applyAlignment="1">
      <alignment horizontal="center" vertical="center" wrapText="1"/>
      <protection/>
    </xf>
    <xf numFmtId="0" fontId="10" fillId="0" borderId="70" xfId="59" applyFont="1" applyBorder="1" applyAlignment="1">
      <alignment horizontal="left" vertical="center" wrapText="1"/>
      <protection/>
    </xf>
    <xf numFmtId="0" fontId="0" fillId="0" borderId="74" xfId="0" applyFont="1" applyBorder="1" applyAlignment="1">
      <alignment/>
    </xf>
    <xf numFmtId="0" fontId="10" fillId="43" borderId="36" xfId="59" applyFont="1" applyFill="1" applyBorder="1" applyAlignment="1">
      <alignment horizontal="center" vertical="center" wrapText="1"/>
      <protection/>
    </xf>
    <xf numFmtId="0" fontId="10" fillId="43" borderId="10" xfId="59" applyFont="1" applyFill="1" applyBorder="1" applyAlignment="1">
      <alignment horizontal="center" vertical="center" wrapText="1"/>
      <protection/>
    </xf>
    <xf numFmtId="0" fontId="10" fillId="43" borderId="19" xfId="59" applyFont="1" applyFill="1" applyBorder="1" applyAlignment="1">
      <alignment horizontal="center" vertical="center" wrapText="1"/>
      <protection/>
    </xf>
    <xf numFmtId="0" fontId="11" fillId="37" borderId="44" xfId="59" applyFont="1" applyFill="1" applyBorder="1" applyAlignment="1">
      <alignment horizontal="center" vertical="center"/>
      <protection/>
    </xf>
    <xf numFmtId="0" fontId="11" fillId="37" borderId="38" xfId="59" applyFont="1" applyFill="1" applyBorder="1" applyAlignment="1">
      <alignment horizontal="center" vertical="center"/>
      <protection/>
    </xf>
    <xf numFmtId="0" fontId="11" fillId="37" borderId="45" xfId="59" applyFont="1" applyFill="1" applyBorder="1" applyAlignment="1">
      <alignment horizontal="center" vertical="center"/>
      <protection/>
    </xf>
    <xf numFmtId="0" fontId="11" fillId="0" borderId="0" xfId="59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11" fillId="0" borderId="15" xfId="59" applyFont="1" applyBorder="1" applyAlignment="1">
      <alignment horizontal="center" vertical="center" wrapText="1"/>
      <protection/>
    </xf>
    <xf numFmtId="0" fontId="0" fillId="0" borderId="15" xfId="0" applyFont="1" applyBorder="1" applyAlignment="1">
      <alignment/>
    </xf>
    <xf numFmtId="0" fontId="11" fillId="39" borderId="36" xfId="59" applyFont="1" applyFill="1" applyBorder="1" applyAlignment="1">
      <alignment horizontal="center" vertical="center" wrapText="1"/>
      <protection/>
    </xf>
    <xf numFmtId="0" fontId="11" fillId="39" borderId="19" xfId="59" applyFont="1" applyFill="1" applyBorder="1" applyAlignment="1">
      <alignment horizontal="center" vertical="center" wrapText="1"/>
      <protection/>
    </xf>
    <xf numFmtId="0" fontId="10" fillId="39" borderId="36" xfId="59" applyFont="1" applyFill="1" applyBorder="1" applyAlignment="1">
      <alignment horizontal="center" vertical="center"/>
      <protection/>
    </xf>
    <xf numFmtId="0" fontId="10" fillId="39" borderId="10" xfId="59" applyFont="1" applyFill="1" applyBorder="1" applyAlignment="1">
      <alignment horizontal="center" vertical="center"/>
      <protection/>
    </xf>
    <xf numFmtId="0" fontId="10" fillId="39" borderId="19" xfId="59" applyFont="1" applyFill="1" applyBorder="1" applyAlignment="1">
      <alignment horizontal="center" vertical="center"/>
      <protection/>
    </xf>
    <xf numFmtId="0" fontId="10" fillId="0" borderId="0" xfId="59" applyFont="1" applyBorder="1" applyAlignment="1">
      <alignment horizontal="center" vertical="center"/>
      <protection/>
    </xf>
    <xf numFmtId="0" fontId="52" fillId="39" borderId="36" xfId="59" applyFont="1" applyFill="1" applyBorder="1" applyAlignment="1">
      <alignment horizontal="center" vertical="center"/>
      <protection/>
    </xf>
    <xf numFmtId="0" fontId="52" fillId="39" borderId="10" xfId="59" applyFont="1" applyFill="1" applyBorder="1" applyAlignment="1">
      <alignment horizontal="center" vertical="center"/>
      <protection/>
    </xf>
    <xf numFmtId="0" fontId="52" fillId="39" borderId="19" xfId="59" applyFont="1" applyFill="1" applyBorder="1" applyAlignment="1">
      <alignment horizontal="center" vertical="center"/>
      <protection/>
    </xf>
    <xf numFmtId="0" fontId="11" fillId="0" borderId="82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68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39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49" fontId="11" fillId="36" borderId="17" xfId="0" applyNumberFormat="1" applyFont="1" applyFill="1" applyBorder="1" applyAlignment="1">
      <alignment horizontal="center" vertical="center"/>
    </xf>
    <xf numFmtId="49" fontId="11" fillId="36" borderId="15" xfId="0" applyNumberFormat="1" applyFont="1" applyFill="1" applyBorder="1" applyAlignment="1">
      <alignment horizontal="center" vertical="center"/>
    </xf>
    <xf numFmtId="0" fontId="11" fillId="35" borderId="16" xfId="0" applyFont="1" applyFill="1" applyBorder="1" applyAlignment="1">
      <alignment horizontal="center" vertical="center" wrapText="1"/>
    </xf>
    <xf numFmtId="0" fontId="56" fillId="39" borderId="0" xfId="0" applyFont="1" applyFill="1" applyAlignment="1">
      <alignment horizontal="center" vertical="center" wrapText="1"/>
    </xf>
    <xf numFmtId="0" fontId="11" fillId="37" borderId="56" xfId="0" applyFont="1" applyFill="1" applyBorder="1" applyAlignment="1">
      <alignment horizontal="center" vertical="center"/>
    </xf>
    <xf numFmtId="0" fontId="11" fillId="37" borderId="30" xfId="0" applyFont="1" applyFill="1" applyBorder="1" applyAlignment="1">
      <alignment horizontal="center" vertical="center"/>
    </xf>
    <xf numFmtId="49" fontId="11" fillId="35" borderId="32" xfId="0" applyNumberFormat="1" applyFont="1" applyFill="1" applyBorder="1" applyAlignment="1">
      <alignment horizontal="center" vertical="center"/>
    </xf>
    <xf numFmtId="49" fontId="11" fillId="35" borderId="15" xfId="0" applyNumberFormat="1" applyFont="1" applyFill="1" applyBorder="1" applyAlignment="1">
      <alignment horizontal="center" vertical="center"/>
    </xf>
    <xf numFmtId="0" fontId="11" fillId="37" borderId="28" xfId="58" applyFont="1" applyFill="1" applyBorder="1" applyAlignment="1">
      <alignment horizontal="center" vertical="center"/>
      <protection/>
    </xf>
    <xf numFmtId="0" fontId="11" fillId="37" borderId="60" xfId="58" applyFont="1" applyFill="1" applyBorder="1" applyAlignment="1">
      <alignment horizontal="center" vertical="center"/>
      <protection/>
    </xf>
    <xf numFmtId="0" fontId="11" fillId="37" borderId="92" xfId="58" applyFont="1" applyFill="1" applyBorder="1" applyAlignment="1">
      <alignment horizontal="center" vertical="center"/>
      <protection/>
    </xf>
    <xf numFmtId="0" fontId="11" fillId="0" borderId="0" xfId="58" applyFont="1" applyAlignment="1">
      <alignment horizontal="center" vertical="center"/>
      <protection/>
    </xf>
    <xf numFmtId="0" fontId="11" fillId="37" borderId="89" xfId="0" applyFont="1" applyFill="1" applyBorder="1" applyAlignment="1">
      <alignment horizontal="center" vertical="center"/>
    </xf>
    <xf numFmtId="0" fontId="11" fillId="37" borderId="90" xfId="0" applyFont="1" applyFill="1" applyBorder="1" applyAlignment="1">
      <alignment horizontal="center" vertical="center"/>
    </xf>
    <xf numFmtId="0" fontId="11" fillId="37" borderId="91" xfId="0" applyFont="1" applyFill="1" applyBorder="1" applyAlignment="1">
      <alignment horizontal="center" vertical="center"/>
    </xf>
    <xf numFmtId="0" fontId="11" fillId="37" borderId="61" xfId="0" applyFont="1" applyFill="1" applyBorder="1" applyAlignment="1">
      <alignment horizontal="center" vertical="center"/>
    </xf>
    <xf numFmtId="0" fontId="11" fillId="37" borderId="62" xfId="0" applyFont="1" applyFill="1" applyBorder="1" applyAlignment="1">
      <alignment horizontal="center" vertical="center"/>
    </xf>
    <xf numFmtId="0" fontId="11" fillId="0" borderId="60" xfId="0" applyFont="1" applyBorder="1" applyAlignment="1">
      <alignment horizontal="left" vertical="center"/>
    </xf>
    <xf numFmtId="0" fontId="11" fillId="37" borderId="57" xfId="0" applyFont="1" applyFill="1" applyBorder="1" applyAlignment="1">
      <alignment horizontal="center" vertical="center"/>
    </xf>
    <xf numFmtId="0" fontId="50" fillId="37" borderId="89" xfId="0" applyFont="1" applyFill="1" applyBorder="1" applyAlignment="1">
      <alignment horizontal="center" vertical="center"/>
    </xf>
    <xf numFmtId="0" fontId="50" fillId="37" borderId="90" xfId="0" applyFont="1" applyFill="1" applyBorder="1" applyAlignment="1">
      <alignment horizontal="center" vertical="center"/>
    </xf>
    <xf numFmtId="0" fontId="11" fillId="37" borderId="56" xfId="0" applyFont="1" applyFill="1" applyBorder="1" applyAlignment="1">
      <alignment horizontal="center" vertical="center"/>
    </xf>
    <xf numFmtId="0" fontId="11" fillId="37" borderId="29" xfId="0" applyFont="1" applyFill="1" applyBorder="1" applyAlignment="1">
      <alignment horizontal="center" vertical="center"/>
    </xf>
    <xf numFmtId="0" fontId="11" fillId="0" borderId="0" xfId="60" applyFont="1" applyAlignment="1">
      <alignment horizontal="right" vertical="center"/>
      <protection/>
    </xf>
    <xf numFmtId="0" fontId="11" fillId="0" borderId="0" xfId="62" applyFont="1" applyAlignment="1">
      <alignment horizontal="center" vertical="center" wrapText="1"/>
      <protection/>
    </xf>
    <xf numFmtId="0" fontId="11" fillId="0" borderId="0" xfId="63" applyFont="1" applyAlignment="1">
      <alignment horizontal="center" vertical="center" wrapText="1"/>
      <protection/>
    </xf>
    <xf numFmtId="0" fontId="78" fillId="0" borderId="0" xfId="0" applyFont="1" applyFill="1" applyAlignment="1">
      <alignment vertical="center"/>
    </xf>
    <xf numFmtId="0" fontId="79" fillId="0" borderId="0" xfId="0" applyFont="1" applyAlignment="1">
      <alignment vertical="center"/>
    </xf>
    <xf numFmtId="0" fontId="68" fillId="41" borderId="15" xfId="0" applyFont="1" applyFill="1" applyBorder="1" applyAlignment="1">
      <alignment horizontal="left" vertical="center" wrapText="1"/>
    </xf>
    <xf numFmtId="49" fontId="70" fillId="0" borderId="15" xfId="0" applyNumberFormat="1" applyFont="1" applyFill="1" applyBorder="1" applyAlignment="1">
      <alignment horizontal="right" vertical="center"/>
    </xf>
    <xf numFmtId="0" fontId="68" fillId="0" borderId="15" xfId="0" applyFont="1" applyFill="1" applyBorder="1" applyAlignment="1">
      <alignment horizontal="center" vertical="center" wrapText="1"/>
    </xf>
    <xf numFmtId="0" fontId="68" fillId="40" borderId="15" xfId="0" applyFont="1" applyFill="1" applyBorder="1" applyAlignment="1">
      <alignment horizontal="left" vertical="center" wrapText="1"/>
    </xf>
    <xf numFmtId="0" fontId="68" fillId="40" borderId="15" xfId="0" applyFont="1" applyFill="1" applyBorder="1" applyAlignment="1">
      <alignment horizontal="left" vertical="center"/>
    </xf>
    <xf numFmtId="49" fontId="68" fillId="40" borderId="15" xfId="0" applyNumberFormat="1" applyFont="1" applyFill="1" applyBorder="1" applyAlignment="1">
      <alignment horizontal="right" vertical="center"/>
    </xf>
    <xf numFmtId="0" fontId="66" fillId="0" borderId="23" xfId="61" applyFont="1" applyBorder="1" applyAlignment="1">
      <alignment horizontal="center" vertical="center" wrapText="1"/>
      <protection/>
    </xf>
    <xf numFmtId="0" fontId="68" fillId="0" borderId="15" xfId="0" applyFont="1" applyBorder="1" applyAlignment="1">
      <alignment horizontal="left" vertical="center"/>
    </xf>
    <xf numFmtId="0" fontId="68" fillId="0" borderId="15" xfId="0" applyFont="1" applyBorder="1" applyAlignment="1">
      <alignment horizontal="center" vertical="center" wrapText="1"/>
    </xf>
    <xf numFmtId="0" fontId="69" fillId="0" borderId="15" xfId="0" applyFont="1" applyBorder="1" applyAlignment="1">
      <alignment horizontal="center" vertical="center" wrapText="1"/>
    </xf>
    <xf numFmtId="0" fontId="74" fillId="0" borderId="0" xfId="0" applyFont="1" applyAlignment="1">
      <alignment horizontal="left" vertical="center" wrapText="1"/>
    </xf>
    <xf numFmtId="49" fontId="70" fillId="0" borderId="15" xfId="0" applyNumberFormat="1" applyFont="1" applyFill="1" applyBorder="1" applyAlignment="1">
      <alignment horizontal="right" vertical="center" wrapText="1"/>
    </xf>
    <xf numFmtId="4" fontId="11" fillId="44" borderId="19" xfId="0" applyNumberFormat="1" applyFont="1" applyFill="1" applyBorder="1" applyAlignment="1">
      <alignment vertical="center"/>
    </xf>
    <xf numFmtId="167" fontId="11" fillId="44" borderId="27" xfId="0" applyNumberFormat="1" applyFont="1" applyFill="1" applyBorder="1" applyAlignment="1">
      <alignment horizontal="center" vertical="center"/>
    </xf>
    <xf numFmtId="4" fontId="10" fillId="45" borderId="10" xfId="0" applyNumberFormat="1" applyFont="1" applyFill="1" applyBorder="1" applyAlignment="1">
      <alignment vertical="center"/>
    </xf>
    <xf numFmtId="4" fontId="10" fillId="45" borderId="14" xfId="0" applyNumberFormat="1" applyFont="1" applyFill="1" applyBorder="1" applyAlignment="1">
      <alignment vertical="top"/>
    </xf>
    <xf numFmtId="166" fontId="10" fillId="45" borderId="14" xfId="0" applyNumberFormat="1" applyFont="1" applyFill="1" applyBorder="1" applyAlignment="1">
      <alignment horizontal="right" vertical="top"/>
    </xf>
    <xf numFmtId="4" fontId="10" fillId="45" borderId="15" xfId="0" applyNumberFormat="1" applyFont="1" applyFill="1" applyBorder="1" applyAlignment="1">
      <alignment horizontal="right" vertical="center"/>
    </xf>
    <xf numFmtId="4" fontId="11" fillId="45" borderId="10" xfId="0" applyNumberFormat="1" applyFont="1" applyFill="1" applyBorder="1" applyAlignment="1">
      <alignment vertical="top"/>
    </xf>
    <xf numFmtId="4" fontId="10" fillId="45" borderId="10" xfId="0" applyNumberFormat="1" applyFont="1" applyFill="1" applyBorder="1" applyAlignment="1">
      <alignment vertical="top"/>
    </xf>
    <xf numFmtId="4" fontId="13" fillId="45" borderId="10" xfId="0" applyNumberFormat="1" applyFont="1" applyFill="1" applyBorder="1" applyAlignment="1">
      <alignment vertical="top"/>
    </xf>
    <xf numFmtId="4" fontId="10" fillId="45" borderId="10" xfId="0" applyNumberFormat="1" applyFont="1" applyFill="1" applyBorder="1" applyAlignment="1" applyProtection="1">
      <alignment/>
      <protection hidden="1"/>
    </xf>
    <xf numFmtId="4" fontId="13" fillId="45" borderId="10" xfId="0" applyNumberFormat="1" applyFont="1" applyFill="1" applyBorder="1" applyAlignment="1" applyProtection="1">
      <alignment wrapText="1"/>
      <protection hidden="1"/>
    </xf>
    <xf numFmtId="4" fontId="11" fillId="45" borderId="10" xfId="0" applyNumberFormat="1" applyFont="1" applyFill="1" applyBorder="1" applyAlignment="1" applyProtection="1">
      <alignment/>
      <protection hidden="1"/>
    </xf>
    <xf numFmtId="0" fontId="4" fillId="25" borderId="0" xfId="0" applyFont="1" applyFill="1" applyAlignment="1">
      <alignment horizontal="center" vertical="center"/>
    </xf>
    <xf numFmtId="4" fontId="11" fillId="19" borderId="10" xfId="0" applyNumberFormat="1" applyFont="1" applyFill="1" applyBorder="1" applyAlignment="1">
      <alignment vertical="center"/>
    </xf>
    <xf numFmtId="166" fontId="11" fillId="19" borderId="12" xfId="0" applyNumberFormat="1" applyFont="1" applyFill="1" applyBorder="1" applyAlignment="1">
      <alignment vertical="center"/>
    </xf>
    <xf numFmtId="4" fontId="15" fillId="19" borderId="10" xfId="0" applyNumberFormat="1" applyFont="1" applyFill="1" applyBorder="1" applyAlignment="1">
      <alignment vertical="center"/>
    </xf>
    <xf numFmtId="166" fontId="15" fillId="19" borderId="12" xfId="0" applyNumberFormat="1" applyFont="1" applyFill="1" applyBorder="1" applyAlignment="1">
      <alignment vertical="center"/>
    </xf>
    <xf numFmtId="4" fontId="13" fillId="19" borderId="10" xfId="0" applyNumberFormat="1" applyFont="1" applyFill="1" applyBorder="1" applyAlignment="1">
      <alignment vertical="center"/>
    </xf>
    <xf numFmtId="166" fontId="13" fillId="19" borderId="12" xfId="0" applyNumberFormat="1" applyFont="1" applyFill="1" applyBorder="1" applyAlignment="1">
      <alignment vertical="center"/>
    </xf>
    <xf numFmtId="4" fontId="17" fillId="19" borderId="10" xfId="0" applyNumberFormat="1" applyFont="1" applyFill="1" applyBorder="1" applyAlignment="1">
      <alignment vertical="center"/>
    </xf>
    <xf numFmtId="166" fontId="17" fillId="19" borderId="12" xfId="0" applyNumberFormat="1" applyFont="1" applyFill="1" applyBorder="1" applyAlignment="1">
      <alignment vertical="center"/>
    </xf>
    <xf numFmtId="4" fontId="4" fillId="19" borderId="10" xfId="0" applyNumberFormat="1" applyFont="1" applyFill="1" applyBorder="1" applyAlignment="1">
      <alignment vertical="center"/>
    </xf>
    <xf numFmtId="166" fontId="4" fillId="19" borderId="12" xfId="0" applyNumberFormat="1" applyFont="1" applyFill="1" applyBorder="1" applyAlignment="1">
      <alignment vertical="center"/>
    </xf>
    <xf numFmtId="4" fontId="9" fillId="19" borderId="10" xfId="0" applyNumberFormat="1" applyFont="1" applyFill="1" applyBorder="1" applyAlignment="1">
      <alignment vertical="center"/>
    </xf>
    <xf numFmtId="166" fontId="9" fillId="19" borderId="12" xfId="0" applyNumberFormat="1" applyFont="1" applyFill="1" applyBorder="1" applyAlignment="1">
      <alignment vertical="center"/>
    </xf>
    <xf numFmtId="4" fontId="13" fillId="19" borderId="30" xfId="0" applyNumberFormat="1" applyFont="1" applyFill="1" applyBorder="1" applyAlignment="1">
      <alignment vertical="center"/>
    </xf>
    <xf numFmtId="166" fontId="13" fillId="19" borderId="97" xfId="0" applyNumberFormat="1" applyFont="1" applyFill="1" applyBorder="1" applyAlignment="1">
      <alignment vertical="center"/>
    </xf>
    <xf numFmtId="4" fontId="11" fillId="44" borderId="62" xfId="0" applyNumberFormat="1" applyFont="1" applyFill="1" applyBorder="1" applyAlignment="1" applyProtection="1">
      <alignment vertical="center"/>
      <protection hidden="1"/>
    </xf>
    <xf numFmtId="4" fontId="11" fillId="0" borderId="15" xfId="0" applyNumberFormat="1" applyFont="1" applyFill="1" applyBorder="1" applyAlignment="1">
      <alignment horizontal="right" vertical="center" wrapText="1"/>
    </xf>
    <xf numFmtId="168" fontId="11" fillId="0" borderId="20" xfId="0" applyNumberFormat="1" applyFont="1" applyFill="1" applyBorder="1" applyAlignment="1">
      <alignment vertical="center" wrapText="1"/>
    </xf>
    <xf numFmtId="4" fontId="10" fillId="0" borderId="15" xfId="0" applyNumberFormat="1" applyFont="1" applyFill="1" applyBorder="1" applyAlignment="1">
      <alignment horizontal="right" vertical="center" wrapText="1"/>
    </xf>
    <xf numFmtId="168" fontId="10" fillId="0" borderId="20" xfId="0" applyNumberFormat="1" applyFont="1" applyFill="1" applyBorder="1" applyAlignment="1">
      <alignment horizontal="right" vertical="center" wrapText="1"/>
    </xf>
    <xf numFmtId="4" fontId="11" fillId="0" borderId="49" xfId="0" applyNumberFormat="1" applyFont="1" applyFill="1" applyBorder="1" applyAlignment="1">
      <alignment horizontal="right" vertical="center" wrapText="1"/>
    </xf>
    <xf numFmtId="168" fontId="11" fillId="0" borderId="50" xfId="0" applyNumberFormat="1" applyFont="1" applyFill="1" applyBorder="1" applyAlignment="1">
      <alignment vertical="center" wrapText="1"/>
    </xf>
  </cellXfs>
  <cellStyles count="6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 4" xfId="54"/>
    <cellStyle name="Normalny 5" xfId="55"/>
    <cellStyle name="Normalny 6" xfId="56"/>
    <cellStyle name="Normalny 6 2" xfId="57"/>
    <cellStyle name="Normalny_niewygasy 2006" xfId="58"/>
    <cellStyle name="Normalny_projekty IP2011" xfId="59"/>
    <cellStyle name="Normalny_tabele2007 2" xfId="60"/>
    <cellStyle name="Normalny_Za(0142)(0105)cznik Nr 1- WPF 2012" xfId="61"/>
    <cellStyle name="Normalny_zaklady opieki zdrowotnej" xfId="62"/>
    <cellStyle name="Normalny_zaklady opieki zdrowotnej 2" xfId="63"/>
    <cellStyle name="Normalny_Zmiany w budżecie 2006" xfId="64"/>
    <cellStyle name="Obliczenia" xfId="65"/>
    <cellStyle name="Percent" xfId="66"/>
    <cellStyle name="Procentowy 2" xfId="67"/>
    <cellStyle name="Suma" xfId="68"/>
    <cellStyle name="Tekst objaśnienia" xfId="69"/>
    <cellStyle name="Tekst ostrzeżenia" xfId="70"/>
    <cellStyle name="Tytuł" xfId="71"/>
    <cellStyle name="Uwaga" xfId="72"/>
    <cellStyle name="Currency" xfId="73"/>
    <cellStyle name="Currency [0]" xfId="74"/>
    <cellStyle name="Złe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J71"/>
  <sheetViews>
    <sheetView view="pageBreakPreview" zoomScaleSheetLayoutView="100" zoomScalePageLayoutView="0" workbookViewId="0" topLeftCell="A1">
      <pane ySplit="7" topLeftCell="A8" activePane="bottomLeft" state="frozen"/>
      <selection pane="topLeft" activeCell="I244" sqref="I244"/>
      <selection pane="bottomLeft" activeCell="I52" sqref="I52"/>
    </sheetView>
  </sheetViews>
  <sheetFormatPr defaultColWidth="9.00390625" defaultRowHeight="12.75"/>
  <cols>
    <col min="1" max="1" width="14.375" style="72" customWidth="1"/>
    <col min="2" max="2" width="17.00390625" style="72" customWidth="1"/>
    <col min="3" max="3" width="13.75390625" style="70" customWidth="1"/>
    <col min="4" max="4" width="13.875" style="70" customWidth="1"/>
    <col min="5" max="5" width="14.25390625" style="70" customWidth="1"/>
    <col min="6" max="6" width="13.625" style="70" customWidth="1"/>
    <col min="7" max="7" width="17.25390625" style="70" customWidth="1"/>
    <col min="8" max="8" width="5.25390625" style="70" customWidth="1"/>
    <col min="9" max="9" width="13.875" style="70" customWidth="1"/>
    <col min="10" max="10" width="13.375" style="70" customWidth="1"/>
    <col min="11" max="16384" width="9.125" style="70" customWidth="1"/>
  </cols>
  <sheetData>
    <row r="1" spans="1:6" ht="26.25" customHeight="1">
      <c r="A1" s="70"/>
      <c r="B1" s="70"/>
      <c r="F1" s="1913" t="s">
        <v>1429</v>
      </c>
    </row>
    <row r="2" spans="1:6" ht="26.25" customHeight="1">
      <c r="A2" s="71"/>
      <c r="B2" s="71"/>
      <c r="C2" s="71"/>
      <c r="D2" s="71"/>
      <c r="E2" s="71"/>
      <c r="F2" s="71"/>
    </row>
    <row r="3" spans="1:6" ht="42.75" customHeight="1">
      <c r="A3" s="1929" t="s">
        <v>323</v>
      </c>
      <c r="B3" s="1929"/>
      <c r="C3" s="1929"/>
      <c r="D3" s="1929"/>
      <c r="E3" s="1929"/>
      <c r="F3" s="1929"/>
    </row>
    <row r="4" spans="6:8" ht="18" customHeight="1" thickBot="1">
      <c r="F4" s="73" t="s">
        <v>208</v>
      </c>
      <c r="G4" s="1929"/>
      <c r="H4" s="1929"/>
    </row>
    <row r="5" spans="1:8" s="74" customFormat="1" ht="18" customHeight="1">
      <c r="A5" s="1932" t="s">
        <v>594</v>
      </c>
      <c r="B5" s="1934" t="s">
        <v>1677</v>
      </c>
      <c r="C5" s="1936" t="s">
        <v>335</v>
      </c>
      <c r="D5" s="1937"/>
      <c r="E5" s="1936" t="s">
        <v>336</v>
      </c>
      <c r="F5" s="1939"/>
      <c r="G5" s="1929"/>
      <c r="H5" s="1929"/>
    </row>
    <row r="6" spans="1:6" s="77" customFormat="1" ht="18" customHeight="1">
      <c r="A6" s="1933"/>
      <c r="B6" s="1935"/>
      <c r="C6" s="75" t="s">
        <v>595</v>
      </c>
      <c r="D6" s="75" t="s">
        <v>596</v>
      </c>
      <c r="E6" s="75" t="s">
        <v>595</v>
      </c>
      <c r="F6" s="76" t="s">
        <v>596</v>
      </c>
    </row>
    <row r="7" spans="1:6" s="82" customFormat="1" ht="13.5" customHeight="1">
      <c r="A7" s="78">
        <v>1</v>
      </c>
      <c r="B7" s="79">
        <v>2</v>
      </c>
      <c r="C7" s="80">
        <v>3</v>
      </c>
      <c r="D7" s="80">
        <v>4</v>
      </c>
      <c r="E7" s="80">
        <v>5</v>
      </c>
      <c r="F7" s="81">
        <v>6</v>
      </c>
    </row>
    <row r="8" spans="1:6" s="77" customFormat="1" ht="18" customHeight="1">
      <c r="A8" s="1927" t="s">
        <v>597</v>
      </c>
      <c r="B8" s="1928"/>
      <c r="C8" s="1930">
        <v>239802261</v>
      </c>
      <c r="D8" s="1938"/>
      <c r="E8" s="1930">
        <v>237361608</v>
      </c>
      <c r="F8" s="1931"/>
    </row>
    <row r="9" spans="1:10" s="87" customFormat="1" ht="18" customHeight="1">
      <c r="A9" s="83" t="s">
        <v>1013</v>
      </c>
      <c r="B9" s="84" t="s">
        <v>1014</v>
      </c>
      <c r="C9" s="85">
        <v>0</v>
      </c>
      <c r="D9" s="85">
        <v>0</v>
      </c>
      <c r="E9" s="85">
        <v>-965697</v>
      </c>
      <c r="F9" s="85">
        <v>965697</v>
      </c>
      <c r="I9" s="88"/>
      <c r="J9" s="88"/>
    </row>
    <row r="10" spans="1:10" ht="18" customHeight="1">
      <c r="A10" s="83" t="s">
        <v>1015</v>
      </c>
      <c r="B10" s="84" t="s">
        <v>1016</v>
      </c>
      <c r="C10" s="85">
        <v>0</v>
      </c>
      <c r="D10" s="85">
        <v>5654350</v>
      </c>
      <c r="E10" s="85">
        <v>0</v>
      </c>
      <c r="F10" s="86">
        <v>5654350</v>
      </c>
      <c r="H10" s="87"/>
      <c r="I10" s="88"/>
      <c r="J10" s="88"/>
    </row>
    <row r="11" spans="1:10" s="87" customFormat="1" ht="18" customHeight="1">
      <c r="A11" s="83" t="s">
        <v>1382</v>
      </c>
      <c r="B11" s="84" t="s">
        <v>1018</v>
      </c>
      <c r="C11" s="85">
        <v>0</v>
      </c>
      <c r="D11" s="85">
        <v>0</v>
      </c>
      <c r="E11" s="85">
        <v>-814901</v>
      </c>
      <c r="F11" s="85">
        <v>814901</v>
      </c>
      <c r="I11" s="88"/>
      <c r="J11" s="88"/>
    </row>
    <row r="12" spans="1:10" s="87" customFormat="1" ht="18" customHeight="1">
      <c r="A12" s="83" t="s">
        <v>1017</v>
      </c>
      <c r="B12" s="84" t="s">
        <v>1019</v>
      </c>
      <c r="C12" s="85">
        <v>0</v>
      </c>
      <c r="D12" s="85">
        <v>0</v>
      </c>
      <c r="E12" s="85">
        <v>-645037</v>
      </c>
      <c r="F12" s="85">
        <v>645037</v>
      </c>
      <c r="I12" s="88"/>
      <c r="J12" s="88"/>
    </row>
    <row r="13" spans="1:10" s="87" customFormat="1" ht="18" customHeight="1">
      <c r="A13" s="83" t="s">
        <v>1017</v>
      </c>
      <c r="B13" s="84" t="s">
        <v>1020</v>
      </c>
      <c r="C13" s="85">
        <v>0</v>
      </c>
      <c r="D13" s="85">
        <v>362450</v>
      </c>
      <c r="E13" s="85">
        <v>-21000</v>
      </c>
      <c r="F13" s="86">
        <v>383450</v>
      </c>
      <c r="I13" s="88"/>
      <c r="J13" s="88"/>
    </row>
    <row r="14" spans="1:10" ht="18" customHeight="1">
      <c r="A14" s="83" t="s">
        <v>1021</v>
      </c>
      <c r="B14" s="84" t="s">
        <v>1022</v>
      </c>
      <c r="C14" s="85">
        <v>0</v>
      </c>
      <c r="D14" s="85">
        <v>0</v>
      </c>
      <c r="E14" s="85">
        <v>-44967</v>
      </c>
      <c r="F14" s="86">
        <v>44967</v>
      </c>
      <c r="H14" s="87"/>
      <c r="I14" s="88"/>
      <c r="J14" s="88"/>
    </row>
    <row r="15" spans="1:10" s="87" customFormat="1" ht="18" customHeight="1">
      <c r="A15" s="83" t="s">
        <v>1023</v>
      </c>
      <c r="B15" s="84" t="s">
        <v>1024</v>
      </c>
      <c r="C15" s="85">
        <v>0</v>
      </c>
      <c r="D15" s="85">
        <v>0</v>
      </c>
      <c r="E15" s="85">
        <v>-200000</v>
      </c>
      <c r="F15" s="85">
        <v>3568616</v>
      </c>
      <c r="I15" s="88"/>
      <c r="J15" s="88"/>
    </row>
    <row r="16" spans="1:10" ht="18" customHeight="1">
      <c r="A16" s="94" t="s">
        <v>1025</v>
      </c>
      <c r="B16" s="84" t="s">
        <v>1026</v>
      </c>
      <c r="C16" s="85">
        <v>0</v>
      </c>
      <c r="D16" s="85">
        <v>0</v>
      </c>
      <c r="E16" s="85">
        <v>-65221</v>
      </c>
      <c r="F16" s="85">
        <v>65221</v>
      </c>
      <c r="H16" s="87"/>
      <c r="I16" s="88"/>
      <c r="J16" s="88"/>
    </row>
    <row r="17" spans="1:10" ht="18" customHeight="1">
      <c r="A17" s="94" t="s">
        <v>1025</v>
      </c>
      <c r="B17" s="84" t="s">
        <v>1027</v>
      </c>
      <c r="C17" s="85">
        <v>-20000</v>
      </c>
      <c r="D17" s="85">
        <v>386613</v>
      </c>
      <c r="E17" s="85">
        <v>-20000</v>
      </c>
      <c r="F17" s="86">
        <v>386613</v>
      </c>
      <c r="H17" s="87"/>
      <c r="I17" s="88"/>
      <c r="J17" s="88"/>
    </row>
    <row r="18" spans="1:10" s="87" customFormat="1" ht="18" customHeight="1">
      <c r="A18" s="94" t="s">
        <v>1028</v>
      </c>
      <c r="B18" s="84" t="s">
        <v>1029</v>
      </c>
      <c r="C18" s="85">
        <v>0</v>
      </c>
      <c r="D18" s="85">
        <v>4263</v>
      </c>
      <c r="E18" s="85">
        <v>0</v>
      </c>
      <c r="F18" s="86">
        <v>4263</v>
      </c>
      <c r="I18" s="88"/>
      <c r="J18" s="88"/>
    </row>
    <row r="19" spans="1:10" ht="18" customHeight="1">
      <c r="A19" s="94" t="s">
        <v>1030</v>
      </c>
      <c r="B19" s="84" t="s">
        <v>1031</v>
      </c>
      <c r="C19" s="85">
        <v>0</v>
      </c>
      <c r="D19" s="85">
        <v>0</v>
      </c>
      <c r="E19" s="85">
        <v>-372740</v>
      </c>
      <c r="F19" s="86">
        <v>372740</v>
      </c>
      <c r="H19" s="87"/>
      <c r="I19" s="88"/>
      <c r="J19" s="88"/>
    </row>
    <row r="20" spans="1:10" s="87" customFormat="1" ht="18" customHeight="1">
      <c r="A20" s="94" t="s">
        <v>1030</v>
      </c>
      <c r="B20" s="84" t="s">
        <v>1032</v>
      </c>
      <c r="C20" s="85">
        <v>0</v>
      </c>
      <c r="D20" s="85">
        <v>215983.11</v>
      </c>
      <c r="E20" s="85">
        <v>0</v>
      </c>
      <c r="F20" s="86">
        <v>215983.11</v>
      </c>
      <c r="I20" s="88"/>
      <c r="J20" s="88"/>
    </row>
    <row r="21" spans="1:10" ht="18" customHeight="1">
      <c r="A21" s="94" t="s">
        <v>1033</v>
      </c>
      <c r="B21" s="84" t="s">
        <v>1034</v>
      </c>
      <c r="C21" s="85">
        <v>0</v>
      </c>
      <c r="D21" s="85">
        <v>0</v>
      </c>
      <c r="E21" s="85">
        <v>-336826</v>
      </c>
      <c r="F21" s="85">
        <v>336826</v>
      </c>
      <c r="H21" s="87"/>
      <c r="I21" s="88"/>
      <c r="J21" s="88"/>
    </row>
    <row r="22" spans="1:10" ht="18" customHeight="1">
      <c r="A22" s="94" t="s">
        <v>1035</v>
      </c>
      <c r="B22" s="84" t="s">
        <v>1036</v>
      </c>
      <c r="C22" s="85">
        <v>0</v>
      </c>
      <c r="D22" s="85">
        <v>99000</v>
      </c>
      <c r="E22" s="85">
        <v>-3433917</v>
      </c>
      <c r="F22" s="86">
        <v>3532917</v>
      </c>
      <c r="H22" s="87"/>
      <c r="I22" s="88"/>
      <c r="J22" s="88"/>
    </row>
    <row r="23" spans="1:10" ht="18" customHeight="1">
      <c r="A23" s="94" t="s">
        <v>1037</v>
      </c>
      <c r="B23" s="84" t="s">
        <v>1038</v>
      </c>
      <c r="C23" s="85">
        <v>0</v>
      </c>
      <c r="D23" s="85">
        <v>0</v>
      </c>
      <c r="E23" s="85">
        <v>-314373</v>
      </c>
      <c r="F23" s="85">
        <v>314373</v>
      </c>
      <c r="H23" s="87"/>
      <c r="I23" s="88"/>
      <c r="J23" s="88"/>
    </row>
    <row r="24" spans="1:10" ht="18" customHeight="1">
      <c r="A24" s="94" t="s">
        <v>1037</v>
      </c>
      <c r="B24" s="84" t="s">
        <v>1039</v>
      </c>
      <c r="C24" s="85">
        <v>-3000</v>
      </c>
      <c r="D24" s="85">
        <v>16224</v>
      </c>
      <c r="E24" s="85">
        <v>-3000</v>
      </c>
      <c r="F24" s="86">
        <v>16224</v>
      </c>
      <c r="H24" s="87"/>
      <c r="I24" s="88"/>
      <c r="J24" s="88"/>
    </row>
    <row r="25" spans="1:10" ht="18" customHeight="1">
      <c r="A25" s="94" t="s">
        <v>1040</v>
      </c>
      <c r="B25" s="84" t="s">
        <v>1041</v>
      </c>
      <c r="C25" s="85">
        <v>0</v>
      </c>
      <c r="D25" s="85">
        <v>0</v>
      </c>
      <c r="E25" s="85">
        <v>-301715</v>
      </c>
      <c r="F25" s="85">
        <v>301715</v>
      </c>
      <c r="H25" s="87"/>
      <c r="I25" s="88"/>
      <c r="J25" s="88"/>
    </row>
    <row r="26" spans="1:10" ht="18" customHeight="1">
      <c r="A26" s="94" t="s">
        <v>1042</v>
      </c>
      <c r="B26" s="84" t="s">
        <v>1043</v>
      </c>
      <c r="C26" s="85">
        <v>0</v>
      </c>
      <c r="D26" s="85">
        <v>0</v>
      </c>
      <c r="E26" s="85">
        <v>-35963</v>
      </c>
      <c r="F26" s="85">
        <v>35963</v>
      </c>
      <c r="H26" s="87"/>
      <c r="I26" s="88"/>
      <c r="J26" s="88"/>
    </row>
    <row r="27" spans="1:10" ht="18" customHeight="1">
      <c r="A27" s="94" t="s">
        <v>1044</v>
      </c>
      <c r="B27" s="84" t="s">
        <v>1045</v>
      </c>
      <c r="C27" s="85">
        <v>-8144672</v>
      </c>
      <c r="D27" s="85">
        <v>2276134</v>
      </c>
      <c r="E27" s="85">
        <v>-2698700</v>
      </c>
      <c r="F27" s="86">
        <v>4845445</v>
      </c>
      <c r="H27" s="87"/>
      <c r="I27" s="88"/>
      <c r="J27" s="88"/>
    </row>
    <row r="28" spans="1:10" ht="18" customHeight="1">
      <c r="A28" s="94" t="s">
        <v>1046</v>
      </c>
      <c r="B28" s="84" t="s">
        <v>1047</v>
      </c>
      <c r="C28" s="85">
        <v>0</v>
      </c>
      <c r="D28" s="85">
        <v>0</v>
      </c>
      <c r="E28" s="85">
        <v>-92769</v>
      </c>
      <c r="F28" s="85">
        <v>92769</v>
      </c>
      <c r="H28" s="87"/>
      <c r="I28" s="88"/>
      <c r="J28" s="88"/>
    </row>
    <row r="29" spans="1:10" ht="18" customHeight="1">
      <c r="A29" s="94" t="s">
        <v>1046</v>
      </c>
      <c r="B29" s="84" t="s">
        <v>1048</v>
      </c>
      <c r="C29" s="85">
        <v>-1600</v>
      </c>
      <c r="D29" s="85">
        <v>56567.99</v>
      </c>
      <c r="E29" s="85">
        <v>-1600</v>
      </c>
      <c r="F29" s="86">
        <v>56567.99</v>
      </c>
      <c r="H29" s="87"/>
      <c r="I29" s="88"/>
      <c r="J29" s="88"/>
    </row>
    <row r="30" spans="1:10" ht="18" customHeight="1">
      <c r="A30" s="94" t="s">
        <v>1049</v>
      </c>
      <c r="B30" s="84" t="s">
        <v>1050</v>
      </c>
      <c r="C30" s="85">
        <v>0</v>
      </c>
      <c r="D30" s="85">
        <v>0</v>
      </c>
      <c r="E30" s="85">
        <v>-380581</v>
      </c>
      <c r="F30" s="85">
        <v>380581</v>
      </c>
      <c r="H30" s="87"/>
      <c r="I30" s="88"/>
      <c r="J30" s="88"/>
    </row>
    <row r="31" spans="1:10" ht="18" customHeight="1">
      <c r="A31" s="94" t="s">
        <v>1051</v>
      </c>
      <c r="B31" s="84" t="s">
        <v>1052</v>
      </c>
      <c r="C31" s="85">
        <v>0</v>
      </c>
      <c r="D31" s="85">
        <v>0</v>
      </c>
      <c r="E31" s="85">
        <v>-52780</v>
      </c>
      <c r="F31" s="86">
        <v>52780</v>
      </c>
      <c r="H31" s="87"/>
      <c r="I31" s="88"/>
      <c r="J31" s="88"/>
    </row>
    <row r="32" spans="1:10" ht="18" customHeight="1">
      <c r="A32" s="94" t="s">
        <v>1053</v>
      </c>
      <c r="B32" s="84" t="s">
        <v>1054</v>
      </c>
      <c r="C32" s="85">
        <v>0</v>
      </c>
      <c r="D32" s="85">
        <v>366875</v>
      </c>
      <c r="E32" s="85">
        <v>0</v>
      </c>
      <c r="F32" s="86">
        <v>366875</v>
      </c>
      <c r="H32" s="87"/>
      <c r="I32" s="88"/>
      <c r="J32" s="88"/>
    </row>
    <row r="33" spans="1:10" ht="18" customHeight="1">
      <c r="A33" s="94" t="s">
        <v>1055</v>
      </c>
      <c r="B33" s="84" t="s">
        <v>1056</v>
      </c>
      <c r="C33" s="85">
        <v>0</v>
      </c>
      <c r="D33" s="85">
        <v>0</v>
      </c>
      <c r="E33" s="85">
        <v>-17060</v>
      </c>
      <c r="F33" s="86">
        <v>17060</v>
      </c>
      <c r="H33" s="87"/>
      <c r="I33" s="88"/>
      <c r="J33" s="88"/>
    </row>
    <row r="34" spans="1:10" ht="18" customHeight="1">
      <c r="A34" s="94" t="s">
        <v>1057</v>
      </c>
      <c r="B34" s="84" t="s">
        <v>1058</v>
      </c>
      <c r="C34" s="85">
        <v>0</v>
      </c>
      <c r="D34" s="85">
        <v>0</v>
      </c>
      <c r="E34" s="85">
        <v>-206740</v>
      </c>
      <c r="F34" s="85">
        <v>206740</v>
      </c>
      <c r="H34" s="87"/>
      <c r="I34" s="88"/>
      <c r="J34" s="88"/>
    </row>
    <row r="35" spans="1:10" ht="18" customHeight="1">
      <c r="A35" s="94" t="s">
        <v>1059</v>
      </c>
      <c r="B35" s="84" t="s">
        <v>1060</v>
      </c>
      <c r="C35" s="85">
        <v>0</v>
      </c>
      <c r="D35" s="85">
        <v>0</v>
      </c>
      <c r="E35" s="85">
        <v>-3000</v>
      </c>
      <c r="F35" s="86">
        <v>3000</v>
      </c>
      <c r="H35" s="87"/>
      <c r="I35" s="88"/>
      <c r="J35" s="88"/>
    </row>
    <row r="36" spans="1:10" ht="18" customHeight="1">
      <c r="A36" s="94" t="s">
        <v>1061</v>
      </c>
      <c r="B36" s="84" t="s">
        <v>1062</v>
      </c>
      <c r="C36" s="85">
        <v>0</v>
      </c>
      <c r="D36" s="85">
        <v>0</v>
      </c>
      <c r="E36" s="85">
        <v>-768489</v>
      </c>
      <c r="F36" s="86">
        <v>768489</v>
      </c>
      <c r="H36" s="87"/>
      <c r="I36" s="88"/>
      <c r="J36" s="88"/>
    </row>
    <row r="37" spans="1:10" ht="18" customHeight="1">
      <c r="A37" s="94" t="s">
        <v>1061</v>
      </c>
      <c r="B37" s="84" t="s">
        <v>1063</v>
      </c>
      <c r="C37" s="85">
        <v>-1250</v>
      </c>
      <c r="D37" s="85">
        <v>162475</v>
      </c>
      <c r="E37" s="85">
        <v>-1250</v>
      </c>
      <c r="F37" s="86">
        <v>162475</v>
      </c>
      <c r="H37" s="87"/>
      <c r="I37" s="88"/>
      <c r="J37" s="88"/>
    </row>
    <row r="38" spans="1:10" ht="18" customHeight="1">
      <c r="A38" s="94" t="s">
        <v>1064</v>
      </c>
      <c r="B38" s="84" t="s">
        <v>1065</v>
      </c>
      <c r="C38" s="85">
        <v>0</v>
      </c>
      <c r="D38" s="85">
        <v>0</v>
      </c>
      <c r="E38" s="85">
        <v>-108837</v>
      </c>
      <c r="F38" s="86">
        <v>108837</v>
      </c>
      <c r="H38" s="87"/>
      <c r="I38" s="88"/>
      <c r="J38" s="88"/>
    </row>
    <row r="39" spans="1:10" ht="18" customHeight="1">
      <c r="A39" s="94" t="s">
        <v>1066</v>
      </c>
      <c r="B39" s="84" t="s">
        <v>1067</v>
      </c>
      <c r="C39" s="85">
        <v>0</v>
      </c>
      <c r="D39" s="85">
        <v>32009</v>
      </c>
      <c r="E39" s="85">
        <v>-719657</v>
      </c>
      <c r="F39" s="86">
        <v>751666</v>
      </c>
      <c r="H39" s="87"/>
      <c r="I39" s="88"/>
      <c r="J39" s="88"/>
    </row>
    <row r="40" spans="1:10" ht="18" customHeight="1">
      <c r="A40" s="94" t="s">
        <v>1068</v>
      </c>
      <c r="B40" s="84" t="s">
        <v>1069</v>
      </c>
      <c r="C40" s="85">
        <v>0</v>
      </c>
      <c r="D40" s="85">
        <v>483234</v>
      </c>
      <c r="E40" s="85">
        <v>0</v>
      </c>
      <c r="F40" s="86">
        <v>483234</v>
      </c>
      <c r="H40" s="87"/>
      <c r="I40" s="88"/>
      <c r="J40" s="88"/>
    </row>
    <row r="41" spans="1:10" ht="18" customHeight="1">
      <c r="A41" s="94" t="s">
        <v>1070</v>
      </c>
      <c r="B41" s="84" t="s">
        <v>1071</v>
      </c>
      <c r="C41" s="85">
        <v>0</v>
      </c>
      <c r="D41" s="85">
        <v>0</v>
      </c>
      <c r="E41" s="85">
        <v>-2018277</v>
      </c>
      <c r="F41" s="86">
        <v>2018277</v>
      </c>
      <c r="H41" s="87"/>
      <c r="I41" s="88"/>
      <c r="J41" s="88"/>
    </row>
    <row r="42" spans="1:10" ht="18" customHeight="1">
      <c r="A42" s="94" t="s">
        <v>1070</v>
      </c>
      <c r="B42" s="84" t="s">
        <v>1072</v>
      </c>
      <c r="C42" s="85">
        <v>0</v>
      </c>
      <c r="D42" s="85">
        <v>6000</v>
      </c>
      <c r="E42" s="85">
        <v>0</v>
      </c>
      <c r="F42" s="86">
        <v>6000</v>
      </c>
      <c r="H42" s="87"/>
      <c r="I42" s="88"/>
      <c r="J42" s="88"/>
    </row>
    <row r="43" spans="1:10" ht="18" customHeight="1">
      <c r="A43" s="94" t="s">
        <v>1367</v>
      </c>
      <c r="B43" s="84" t="s">
        <v>1073</v>
      </c>
      <c r="C43" s="85">
        <v>0</v>
      </c>
      <c r="D43" s="85">
        <v>0</v>
      </c>
      <c r="E43" s="85">
        <v>-1216467</v>
      </c>
      <c r="F43" s="86">
        <v>1216467</v>
      </c>
      <c r="H43" s="87"/>
      <c r="I43" s="88"/>
      <c r="J43" s="88"/>
    </row>
    <row r="44" spans="1:10" ht="18" customHeight="1">
      <c r="A44" s="94" t="s">
        <v>1074</v>
      </c>
      <c r="B44" s="84" t="s">
        <v>1381</v>
      </c>
      <c r="C44" s="85">
        <v>-26848215</v>
      </c>
      <c r="D44" s="85">
        <v>3710126</v>
      </c>
      <c r="E44" s="85">
        <v>-9400683</v>
      </c>
      <c r="F44" s="86">
        <v>262594</v>
      </c>
      <c r="H44" s="87"/>
      <c r="I44" s="88"/>
      <c r="J44" s="88"/>
    </row>
    <row r="45" spans="1:10" ht="18" customHeight="1">
      <c r="A45" s="94" t="s">
        <v>371</v>
      </c>
      <c r="B45" s="84" t="s">
        <v>372</v>
      </c>
      <c r="C45" s="85">
        <v>0</v>
      </c>
      <c r="D45" s="85">
        <v>0</v>
      </c>
      <c r="E45" s="85">
        <v>-624068</v>
      </c>
      <c r="F45" s="86">
        <v>624068</v>
      </c>
      <c r="H45" s="87"/>
      <c r="I45" s="88"/>
      <c r="J45" s="88"/>
    </row>
    <row r="46" spans="1:10" ht="18" customHeight="1">
      <c r="A46" s="94" t="s">
        <v>373</v>
      </c>
      <c r="B46" s="84" t="s">
        <v>374</v>
      </c>
      <c r="C46" s="85">
        <v>-13014</v>
      </c>
      <c r="D46" s="85">
        <v>358650.46</v>
      </c>
      <c r="E46" s="85">
        <v>-13014</v>
      </c>
      <c r="F46" s="86">
        <v>358650.46</v>
      </c>
      <c r="H46" s="87"/>
      <c r="I46" s="88"/>
      <c r="J46" s="88"/>
    </row>
    <row r="47" spans="1:10" ht="18" customHeight="1">
      <c r="A47" s="94" t="s">
        <v>375</v>
      </c>
      <c r="B47" s="84" t="s">
        <v>376</v>
      </c>
      <c r="C47" s="85">
        <v>0</v>
      </c>
      <c r="D47" s="85">
        <v>0</v>
      </c>
      <c r="E47" s="85">
        <v>-89120</v>
      </c>
      <c r="F47" s="86">
        <v>89120</v>
      </c>
      <c r="H47" s="87"/>
      <c r="I47" s="88"/>
      <c r="J47" s="88"/>
    </row>
    <row r="48" spans="1:10" ht="18" customHeight="1">
      <c r="A48" s="94" t="s">
        <v>1365</v>
      </c>
      <c r="B48" s="84" t="s">
        <v>1366</v>
      </c>
      <c r="C48" s="85">
        <v>-10460</v>
      </c>
      <c r="D48" s="85">
        <v>124949</v>
      </c>
      <c r="E48" s="85">
        <v>-10460</v>
      </c>
      <c r="F48" s="86">
        <v>124949</v>
      </c>
      <c r="H48" s="87"/>
      <c r="I48" s="88"/>
      <c r="J48" s="88"/>
    </row>
    <row r="49" spans="1:10" ht="18" customHeight="1">
      <c r="A49" s="94" t="s">
        <v>1368</v>
      </c>
      <c r="B49" s="84" t="s">
        <v>1369</v>
      </c>
      <c r="C49" s="85">
        <v>0</v>
      </c>
      <c r="D49" s="85">
        <v>0</v>
      </c>
      <c r="E49" s="85">
        <v>-3764137</v>
      </c>
      <c r="F49" s="86">
        <v>3764137</v>
      </c>
      <c r="H49" s="87"/>
      <c r="I49" s="88"/>
      <c r="J49" s="88"/>
    </row>
    <row r="50" spans="1:10" ht="18" customHeight="1">
      <c r="A50" s="94" t="s">
        <v>1370</v>
      </c>
      <c r="B50" s="84" t="s">
        <v>1371</v>
      </c>
      <c r="C50" s="85">
        <v>-22155</v>
      </c>
      <c r="D50" s="85">
        <v>692134</v>
      </c>
      <c r="E50" s="85">
        <v>-22155</v>
      </c>
      <c r="F50" s="86">
        <v>692134</v>
      </c>
      <c r="H50" s="87"/>
      <c r="I50" s="88"/>
      <c r="J50" s="88"/>
    </row>
    <row r="51" spans="1:10" ht="18" customHeight="1">
      <c r="A51" s="94" t="s">
        <v>1372</v>
      </c>
      <c r="B51" s="84" t="s">
        <v>1373</v>
      </c>
      <c r="C51" s="85">
        <v>0</v>
      </c>
      <c r="D51" s="85">
        <v>0</v>
      </c>
      <c r="E51" s="85">
        <v>-1040803</v>
      </c>
      <c r="F51" s="85">
        <v>1040803</v>
      </c>
      <c r="H51" s="87"/>
      <c r="I51" s="88"/>
      <c r="J51" s="88"/>
    </row>
    <row r="52" spans="1:10" ht="18" customHeight="1">
      <c r="A52" s="94" t="s">
        <v>1357</v>
      </c>
      <c r="B52" s="84" t="s">
        <v>1374</v>
      </c>
      <c r="C52" s="85">
        <v>0</v>
      </c>
      <c r="D52" s="85">
        <v>46347</v>
      </c>
      <c r="E52" s="85">
        <v>0</v>
      </c>
      <c r="F52" s="1672">
        <v>46347</v>
      </c>
      <c r="H52" s="87"/>
      <c r="I52" s="88"/>
      <c r="J52" s="88"/>
    </row>
    <row r="53" spans="1:10" ht="18" customHeight="1">
      <c r="A53" s="94" t="s">
        <v>1358</v>
      </c>
      <c r="B53" s="84" t="s">
        <v>1375</v>
      </c>
      <c r="C53" s="85">
        <v>0</v>
      </c>
      <c r="D53" s="85">
        <v>0</v>
      </c>
      <c r="E53" s="85">
        <v>-29415</v>
      </c>
      <c r="F53" s="1672">
        <v>29415</v>
      </c>
      <c r="H53" s="87"/>
      <c r="I53" s="88"/>
      <c r="J53" s="88"/>
    </row>
    <row r="54" spans="1:10" ht="18" customHeight="1">
      <c r="A54" s="94" t="s">
        <v>1359</v>
      </c>
      <c r="B54" s="84" t="s">
        <v>1376</v>
      </c>
      <c r="C54" s="85">
        <v>0</v>
      </c>
      <c r="D54" s="85">
        <v>208896</v>
      </c>
      <c r="E54" s="85">
        <v>-12492</v>
      </c>
      <c r="F54" s="1672">
        <v>221388</v>
      </c>
      <c r="H54" s="87"/>
      <c r="I54" s="88"/>
      <c r="J54" s="88"/>
    </row>
    <row r="55" spans="1:10" ht="18" customHeight="1">
      <c r="A55" s="94" t="s">
        <v>1360</v>
      </c>
      <c r="B55" s="84" t="s">
        <v>1377</v>
      </c>
      <c r="C55" s="85">
        <v>0</v>
      </c>
      <c r="D55" s="85">
        <v>0</v>
      </c>
      <c r="E55" s="85">
        <v>-602584</v>
      </c>
      <c r="F55" s="1672">
        <v>602584</v>
      </c>
      <c r="H55" s="87"/>
      <c r="I55" s="88"/>
      <c r="J55" s="88"/>
    </row>
    <row r="56" spans="1:10" ht="18" customHeight="1">
      <c r="A56" s="94" t="s">
        <v>1361</v>
      </c>
      <c r="B56" s="84" t="s">
        <v>1378</v>
      </c>
      <c r="C56" s="85">
        <v>0</v>
      </c>
      <c r="D56" s="85">
        <v>40009</v>
      </c>
      <c r="E56" s="85">
        <v>0</v>
      </c>
      <c r="F56" s="1672">
        <v>40009</v>
      </c>
      <c r="H56" s="87"/>
      <c r="I56" s="88"/>
      <c r="J56" s="88"/>
    </row>
    <row r="57" spans="1:10" ht="18" customHeight="1">
      <c r="A57" s="94" t="s">
        <v>1379</v>
      </c>
      <c r="B57" s="84" t="s">
        <v>1380</v>
      </c>
      <c r="C57" s="85">
        <v>0</v>
      </c>
      <c r="D57" s="85">
        <v>0</v>
      </c>
      <c r="E57" s="85">
        <v>-535963</v>
      </c>
      <c r="F57" s="86">
        <v>535963</v>
      </c>
      <c r="H57" s="87"/>
      <c r="I57" s="88"/>
      <c r="J57" s="88"/>
    </row>
    <row r="58" spans="1:6" s="77" customFormat="1" ht="18" customHeight="1">
      <c r="A58" s="1927" t="s">
        <v>1216</v>
      </c>
      <c r="B58" s="1928"/>
      <c r="C58" s="95">
        <f>SUM(C9:C57)</f>
        <v>-35064366</v>
      </c>
      <c r="D58" s="95">
        <f>SUM(D9:D57)</f>
        <v>15303289.56</v>
      </c>
      <c r="E58" s="95">
        <f>SUM(E9:E57)</f>
        <v>-32006458</v>
      </c>
      <c r="F58" s="95">
        <f>SUM(F9:F57)</f>
        <v>37629280.56</v>
      </c>
    </row>
    <row r="59" spans="1:6" s="77" customFormat="1" ht="18" customHeight="1">
      <c r="A59" s="1927" t="s">
        <v>598</v>
      </c>
      <c r="B59" s="1928"/>
      <c r="C59" s="1930">
        <f>SUM(C58:D58)</f>
        <v>-19761076.439999998</v>
      </c>
      <c r="D59" s="1938"/>
      <c r="E59" s="1930">
        <f>SUM(E58:F58)</f>
        <v>5622822.560000002</v>
      </c>
      <c r="F59" s="1931"/>
    </row>
    <row r="60" spans="1:6" s="77" customFormat="1" ht="18" customHeight="1" thickBot="1">
      <c r="A60" s="1943" t="s">
        <v>599</v>
      </c>
      <c r="B60" s="1944"/>
      <c r="C60" s="1941">
        <f>SUM(C8,C59)</f>
        <v>220041184.56</v>
      </c>
      <c r="D60" s="1942"/>
      <c r="E60" s="1941">
        <f>SUM(E8,E59)</f>
        <v>242984430.56</v>
      </c>
      <c r="F60" s="1946"/>
    </row>
    <row r="61" ht="12.75" customHeight="1"/>
    <row r="62" spans="2:6" ht="12.75" hidden="1">
      <c r="B62" s="72" t="s">
        <v>294</v>
      </c>
      <c r="C62" s="1940">
        <v>251142808.91</v>
      </c>
      <c r="D62" s="1940"/>
      <c r="E62" s="1940">
        <v>251763380.91</v>
      </c>
      <c r="F62" s="1940"/>
    </row>
    <row r="63" spans="2:6" ht="12.75" hidden="1">
      <c r="B63" s="72" t="s">
        <v>1445</v>
      </c>
      <c r="C63" s="1940">
        <f>C60-C62</f>
        <v>-31101624.349999994</v>
      </c>
      <c r="D63" s="1945"/>
      <c r="E63" s="1940">
        <f>E60-E62</f>
        <v>-8778950.349999994</v>
      </c>
      <c r="F63" s="1945"/>
    </row>
    <row r="64" ht="12.75" hidden="1"/>
    <row r="65" ht="12.75" hidden="1"/>
    <row r="66" spans="2:6" ht="12.75" hidden="1">
      <c r="B66" s="72" t="s">
        <v>1808</v>
      </c>
      <c r="C66" s="1940">
        <v>251142808.91</v>
      </c>
      <c r="D66" s="1940"/>
      <c r="E66" s="1940">
        <v>251763380.91</v>
      </c>
      <c r="F66" s="1940"/>
    </row>
    <row r="67" ht="12.75" hidden="1"/>
    <row r="68" ht="12.75" hidden="1"/>
    <row r="69" ht="12.75" hidden="1"/>
    <row r="70" spans="2:6" ht="12.75" hidden="1">
      <c r="B70" s="72" t="s">
        <v>1570</v>
      </c>
      <c r="C70" s="1940">
        <v>220874066.78</v>
      </c>
      <c r="D70" s="1940"/>
      <c r="E70" s="1940">
        <v>265045705.78</v>
      </c>
      <c r="F70" s="1940"/>
    </row>
    <row r="71" spans="2:6" ht="12.75" hidden="1">
      <c r="B71" s="72" t="s">
        <v>1445</v>
      </c>
      <c r="C71" s="1940">
        <f>C60-C70</f>
        <v>-832882.2199999988</v>
      </c>
      <c r="D71" s="1940"/>
      <c r="E71" s="1940">
        <f>E60-E70</f>
        <v>-22061275.22</v>
      </c>
      <c r="F71" s="1940"/>
    </row>
  </sheetData>
  <sheetProtection password="CF53" sheet="1" formatRows="0" insertColumns="0" insertRows="0" insertHyperlinks="0" deleteColumns="0" deleteRows="0" sort="0" autoFilter="0" pivotTables="0"/>
  <mergeCells count="27">
    <mergeCell ref="A60:B60"/>
    <mergeCell ref="E71:F71"/>
    <mergeCell ref="C63:D63"/>
    <mergeCell ref="E63:F63"/>
    <mergeCell ref="E60:F60"/>
    <mergeCell ref="E62:F62"/>
    <mergeCell ref="C71:D71"/>
    <mergeCell ref="C70:D70"/>
    <mergeCell ref="E70:F70"/>
    <mergeCell ref="H4:H5"/>
    <mergeCell ref="E5:F5"/>
    <mergeCell ref="E59:F59"/>
    <mergeCell ref="C66:D66"/>
    <mergeCell ref="E66:F66"/>
    <mergeCell ref="C59:D59"/>
    <mergeCell ref="C60:D60"/>
    <mergeCell ref="C62:D62"/>
    <mergeCell ref="G4:G5"/>
    <mergeCell ref="A58:B58"/>
    <mergeCell ref="A59:B59"/>
    <mergeCell ref="A3:F3"/>
    <mergeCell ref="E8:F8"/>
    <mergeCell ref="A5:A6"/>
    <mergeCell ref="B5:B6"/>
    <mergeCell ref="C5:D5"/>
    <mergeCell ref="A8:B8"/>
    <mergeCell ref="C8:D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J130"/>
  <sheetViews>
    <sheetView view="pageBreakPreview" zoomScaleSheetLayoutView="100" zoomScalePageLayoutView="0" workbookViewId="0" topLeftCell="A1">
      <pane ySplit="7" topLeftCell="A8" activePane="bottomLeft" state="frozen"/>
      <selection pane="topLeft" activeCell="I244" sqref="I244"/>
      <selection pane="bottomLeft" activeCell="G1" sqref="G1:I16384"/>
    </sheetView>
  </sheetViews>
  <sheetFormatPr defaultColWidth="9.00390625" defaultRowHeight="12.75"/>
  <cols>
    <col min="1" max="1" width="3.375" style="368" customWidth="1"/>
    <col min="2" max="2" width="7.375" style="368" customWidth="1"/>
    <col min="3" max="3" width="42.625" style="357" customWidth="1"/>
    <col min="4" max="4" width="12.25390625" style="357" customWidth="1"/>
    <col min="5" max="5" width="12.625" style="357" customWidth="1"/>
    <col min="6" max="6" width="6.125" style="357" customWidth="1"/>
    <col min="7" max="7" width="5.75390625" style="358" hidden="1" customWidth="1"/>
    <col min="8" max="8" width="11.625" style="359" hidden="1" customWidth="1"/>
    <col min="9" max="9" width="11.75390625" style="374" hidden="1" customWidth="1"/>
    <col min="10" max="10" width="9.125" style="361" customWidth="1"/>
    <col min="11" max="15" width="9.125" style="357" customWidth="1"/>
    <col min="16" max="16" width="8.875" style="357" customWidth="1"/>
    <col min="17" max="16384" width="9.125" style="357" customWidth="1"/>
  </cols>
  <sheetData>
    <row r="1" spans="1:10" s="97" customFormat="1" ht="12.75">
      <c r="A1" s="100"/>
      <c r="B1" s="100"/>
      <c r="E1" s="2008" t="s">
        <v>1433</v>
      </c>
      <c r="F1" s="2008"/>
      <c r="G1" s="98"/>
      <c r="H1" s="99"/>
      <c r="I1" s="610"/>
      <c r="J1" s="583"/>
    </row>
    <row r="2" spans="1:10" s="97" customFormat="1" ht="12.75">
      <c r="A2" s="100"/>
      <c r="B2" s="100"/>
      <c r="E2" s="99"/>
      <c r="F2" s="99"/>
      <c r="G2" s="98"/>
      <c r="H2" s="99"/>
      <c r="I2" s="610"/>
      <c r="J2" s="583"/>
    </row>
    <row r="3" spans="1:10" s="97" customFormat="1" ht="12.75">
      <c r="A3" s="1967" t="s">
        <v>924</v>
      </c>
      <c r="B3" s="1967"/>
      <c r="C3" s="1967"/>
      <c r="D3" s="1967"/>
      <c r="E3" s="1967"/>
      <c r="F3" s="1967"/>
      <c r="G3" s="98"/>
      <c r="H3" s="99"/>
      <c r="I3" s="610"/>
      <c r="J3" s="583"/>
    </row>
    <row r="4" spans="1:10" s="97" customFormat="1" ht="13.5" customHeight="1" hidden="1">
      <c r="A4" s="96"/>
      <c r="B4" s="96"/>
      <c r="C4" s="96"/>
      <c r="D4" s="96"/>
      <c r="E4" s="96"/>
      <c r="F4" s="96"/>
      <c r="G4" s="98"/>
      <c r="H4" s="99"/>
      <c r="I4" s="610"/>
      <c r="J4" s="583"/>
    </row>
    <row r="5" spans="1:10" s="97" customFormat="1" ht="28.5" customHeight="1" thickBot="1">
      <c r="A5" s="2042" t="s">
        <v>1577</v>
      </c>
      <c r="B5" s="2043"/>
      <c r="C5" s="2043"/>
      <c r="D5" s="2043"/>
      <c r="E5" s="2043"/>
      <c r="F5" s="1082" t="s">
        <v>208</v>
      </c>
      <c r="G5" s="98"/>
      <c r="H5" s="99"/>
      <c r="I5" s="610"/>
      <c r="J5" s="583"/>
    </row>
    <row r="6" spans="1:10" s="125" customFormat="1" ht="17.25" customHeight="1">
      <c r="A6" s="1008" t="s">
        <v>1219</v>
      </c>
      <c r="B6" s="1009" t="s">
        <v>209</v>
      </c>
      <c r="C6" s="1010" t="s">
        <v>126</v>
      </c>
      <c r="D6" s="569" t="s">
        <v>211</v>
      </c>
      <c r="E6" s="1083" t="s">
        <v>212</v>
      </c>
      <c r="F6" s="570" t="s">
        <v>815</v>
      </c>
      <c r="G6" s="118"/>
      <c r="H6" s="2012" t="s">
        <v>1142</v>
      </c>
      <c r="I6" s="2012"/>
      <c r="J6" s="1084"/>
    </row>
    <row r="7" spans="1:10" s="1092" customFormat="1" ht="11.25" customHeight="1">
      <c r="A7" s="1085">
        <v>1</v>
      </c>
      <c r="B7" s="1086">
        <v>2</v>
      </c>
      <c r="C7" s="1086">
        <v>3</v>
      </c>
      <c r="D7" s="1086">
        <v>4</v>
      </c>
      <c r="E7" s="1087">
        <v>5</v>
      </c>
      <c r="F7" s="1088">
        <v>6</v>
      </c>
      <c r="G7" s="623"/>
      <c r="H7" s="1089"/>
      <c r="I7" s="1090"/>
      <c r="J7" s="1091"/>
    </row>
    <row r="8" spans="1:10" s="97" customFormat="1" ht="18" customHeight="1">
      <c r="A8" s="2013" t="s">
        <v>738</v>
      </c>
      <c r="B8" s="2014"/>
      <c r="C8" s="2015"/>
      <c r="D8" s="1093">
        <f>SUM(D9,D10)</f>
        <v>2440000</v>
      </c>
      <c r="E8" s="1093">
        <f>SUM(E9,E10)</f>
        <v>2440000</v>
      </c>
      <c r="F8" s="1094">
        <f>E8/D8*100</f>
        <v>100</v>
      </c>
      <c r="G8" s="98"/>
      <c r="H8" s="99"/>
      <c r="I8" s="610"/>
      <c r="J8" s="583"/>
    </row>
    <row r="9" spans="1:10" s="97" customFormat="1" ht="40.5" customHeight="1">
      <c r="A9" s="591" t="s">
        <v>1222</v>
      </c>
      <c r="B9" s="584">
        <v>70001</v>
      </c>
      <c r="C9" s="1095" t="s">
        <v>405</v>
      </c>
      <c r="D9" s="1197">
        <f>SUM(9W!D73)</f>
        <v>320000</v>
      </c>
      <c r="E9" s="1197">
        <f>SUM(9W!E73)</f>
        <v>320000</v>
      </c>
      <c r="F9" s="1755">
        <f>E9/D9*100</f>
        <v>100</v>
      </c>
      <c r="G9" s="1756" t="s">
        <v>1599</v>
      </c>
      <c r="H9" s="99"/>
      <c r="I9" s="610"/>
      <c r="J9" s="583"/>
    </row>
    <row r="10" spans="1:10" s="97" customFormat="1" ht="138.75" customHeight="1" thickBot="1">
      <c r="A10" s="1098" t="s">
        <v>1223</v>
      </c>
      <c r="B10" s="1099">
        <v>92605</v>
      </c>
      <c r="C10" s="1806" t="s">
        <v>1083</v>
      </c>
      <c r="D10" s="1757">
        <v>2120000</v>
      </c>
      <c r="E10" s="1757">
        <v>2120000</v>
      </c>
      <c r="F10" s="1758">
        <f>E10/D10*100</f>
        <v>100</v>
      </c>
      <c r="G10" s="1756" t="s">
        <v>1599</v>
      </c>
      <c r="H10" s="99"/>
      <c r="I10" s="610"/>
      <c r="J10" s="583"/>
    </row>
    <row r="11" spans="1:10" s="97" customFormat="1" ht="17.25" customHeight="1" thickBot="1" thickTop="1">
      <c r="A11" s="2023" t="s">
        <v>741</v>
      </c>
      <c r="B11" s="2024"/>
      <c r="C11" s="2025"/>
      <c r="D11" s="1103">
        <f>SUM(D8)</f>
        <v>2440000</v>
      </c>
      <c r="E11" s="1103">
        <f>SUM(E8)</f>
        <v>2440000</v>
      </c>
      <c r="F11" s="1104">
        <f>E11/D11*100</f>
        <v>100</v>
      </c>
      <c r="G11" s="98"/>
      <c r="H11" s="99"/>
      <c r="I11" s="610"/>
      <c r="J11" s="583"/>
    </row>
    <row r="12" ht="25.5" customHeight="1">
      <c r="F12" s="485"/>
    </row>
    <row r="13" spans="1:10" s="98" customFormat="1" ht="43.5" customHeight="1" thickBot="1">
      <c r="A13" s="2021" t="s">
        <v>1190</v>
      </c>
      <c r="B13" s="2021"/>
      <c r="C13" s="2021"/>
      <c r="D13" s="2021"/>
      <c r="E13" s="2021"/>
      <c r="F13" s="2021"/>
      <c r="H13" s="99"/>
      <c r="I13" s="610"/>
      <c r="J13" s="609"/>
    </row>
    <row r="14" spans="1:10" s="125" customFormat="1" ht="19.5" customHeight="1">
      <c r="A14" s="567" t="s">
        <v>1219</v>
      </c>
      <c r="B14" s="568" t="s">
        <v>209</v>
      </c>
      <c r="C14" s="1010" t="s">
        <v>126</v>
      </c>
      <c r="D14" s="569" t="s">
        <v>211</v>
      </c>
      <c r="E14" s="1083" t="s">
        <v>212</v>
      </c>
      <c r="F14" s="570" t="s">
        <v>815</v>
      </c>
      <c r="G14" s="118"/>
      <c r="H14" s="1105"/>
      <c r="I14" s="1106"/>
      <c r="J14" s="1084"/>
    </row>
    <row r="15" spans="1:10" s="252" customFormat="1" ht="10.5" customHeight="1">
      <c r="A15" s="1085">
        <v>1</v>
      </c>
      <c r="B15" s="1086">
        <v>2</v>
      </c>
      <c r="C15" s="1086">
        <v>3</v>
      </c>
      <c r="D15" s="1086">
        <v>4</v>
      </c>
      <c r="E15" s="1087">
        <v>5</v>
      </c>
      <c r="F15" s="1088">
        <v>6</v>
      </c>
      <c r="G15" s="574"/>
      <c r="H15" s="1089"/>
      <c r="I15" s="1090"/>
      <c r="J15" s="1107"/>
    </row>
    <row r="16" spans="1:10" s="97" customFormat="1" ht="18.75" customHeight="1">
      <c r="A16" s="2013" t="s">
        <v>738</v>
      </c>
      <c r="B16" s="2014"/>
      <c r="C16" s="2015"/>
      <c r="D16" s="1093">
        <f>SUM(D17:D32)</f>
        <v>5467208</v>
      </c>
      <c r="E16" s="1093">
        <f>SUM(E17:E32)</f>
        <v>5459905.9</v>
      </c>
      <c r="F16" s="1094">
        <f>E16/D16*100</f>
        <v>99.86643822587324</v>
      </c>
      <c r="G16" s="98"/>
      <c r="H16" s="99"/>
      <c r="I16" s="610"/>
      <c r="J16" s="583"/>
    </row>
    <row r="17" spans="1:10" s="97" customFormat="1" ht="36.75" customHeight="1">
      <c r="A17" s="591" t="s">
        <v>1222</v>
      </c>
      <c r="B17" s="584">
        <v>80101</v>
      </c>
      <c r="C17" s="101" t="s">
        <v>84</v>
      </c>
      <c r="D17" s="1197">
        <f>SUM(9W!D243)</f>
        <v>384495</v>
      </c>
      <c r="E17" s="1197">
        <f>SUM(9W!E243)</f>
        <v>384494.83</v>
      </c>
      <c r="F17" s="1755">
        <f aca="true" t="shared" si="0" ref="F17:F53">E17/D17*100</f>
        <v>99.99995578616108</v>
      </c>
      <c r="G17" s="1759" t="s">
        <v>1600</v>
      </c>
      <c r="H17" s="1760"/>
      <c r="I17" s="610"/>
      <c r="J17" s="583"/>
    </row>
    <row r="18" spans="1:10" s="97" customFormat="1" ht="35.25" customHeight="1">
      <c r="A18" s="591" t="s">
        <v>1223</v>
      </c>
      <c r="B18" s="584">
        <v>80103</v>
      </c>
      <c r="C18" s="101" t="s">
        <v>84</v>
      </c>
      <c r="D18" s="1197">
        <f>SUM(9W!D252)</f>
        <v>32801</v>
      </c>
      <c r="E18" s="1197">
        <f>SUM(9W!E252)</f>
        <v>32800.11</v>
      </c>
      <c r="F18" s="1755">
        <f t="shared" si="0"/>
        <v>99.99728666808939</v>
      </c>
      <c r="G18" s="1759" t="s">
        <v>1600</v>
      </c>
      <c r="H18" s="1761"/>
      <c r="I18" s="610"/>
      <c r="J18" s="583"/>
    </row>
    <row r="19" spans="1:10" s="97" customFormat="1" ht="24" customHeight="1">
      <c r="A19" s="591" t="s">
        <v>1548</v>
      </c>
      <c r="B19" s="584">
        <v>80104</v>
      </c>
      <c r="C19" s="1112" t="s">
        <v>362</v>
      </c>
      <c r="D19" s="1197">
        <v>235174</v>
      </c>
      <c r="E19" s="1197">
        <v>235170.4</v>
      </c>
      <c r="F19" s="1755">
        <f t="shared" si="0"/>
        <v>99.99846921853606</v>
      </c>
      <c r="G19" s="2017" t="s">
        <v>1600</v>
      </c>
      <c r="H19" s="2016">
        <f>SUM(D19:D21)</f>
        <v>532004</v>
      </c>
      <c r="I19" s="2022">
        <f>SUM(E19:E21)</f>
        <v>531995.92</v>
      </c>
      <c r="J19" s="583"/>
    </row>
    <row r="20" spans="1:10" s="97" customFormat="1" ht="24" customHeight="1">
      <c r="A20" s="591" t="s">
        <v>1555</v>
      </c>
      <c r="B20" s="584">
        <v>80104</v>
      </c>
      <c r="C20" s="1112" t="s">
        <v>61</v>
      </c>
      <c r="D20" s="1197">
        <v>86710</v>
      </c>
      <c r="E20" s="1197">
        <v>86705.88</v>
      </c>
      <c r="F20" s="1755">
        <f t="shared" si="0"/>
        <v>99.99524852958137</v>
      </c>
      <c r="G20" s="2017"/>
      <c r="H20" s="2016"/>
      <c r="I20" s="2022"/>
      <c r="J20" s="583"/>
    </row>
    <row r="21" spans="1:10" s="97" customFormat="1" ht="24" customHeight="1">
      <c r="A21" s="591" t="s">
        <v>1556</v>
      </c>
      <c r="B21" s="584">
        <v>80104</v>
      </c>
      <c r="C21" s="1112" t="s">
        <v>363</v>
      </c>
      <c r="D21" s="1197">
        <v>210120</v>
      </c>
      <c r="E21" s="1197">
        <v>210119.64</v>
      </c>
      <c r="F21" s="1755">
        <f t="shared" si="0"/>
        <v>99.99982866933182</v>
      </c>
      <c r="G21" s="1762"/>
      <c r="H21" s="1760"/>
      <c r="I21" s="610"/>
      <c r="J21" s="583"/>
    </row>
    <row r="22" spans="1:10" s="97" customFormat="1" ht="24" customHeight="1">
      <c r="A22" s="591" t="s">
        <v>1557</v>
      </c>
      <c r="B22" s="584">
        <v>80105</v>
      </c>
      <c r="C22" s="1112" t="s">
        <v>751</v>
      </c>
      <c r="D22" s="1197">
        <f>SUM(9W!D267)</f>
        <v>346467</v>
      </c>
      <c r="E22" s="1197">
        <f>SUM(9W!E267)</f>
        <v>346466.64</v>
      </c>
      <c r="F22" s="1755">
        <f t="shared" si="0"/>
        <v>99.99989609400029</v>
      </c>
      <c r="G22" s="1763" t="s">
        <v>1600</v>
      </c>
      <c r="H22" s="1761"/>
      <c r="I22" s="610"/>
      <c r="J22" s="583"/>
    </row>
    <row r="23" spans="1:10" s="97" customFormat="1" ht="33" customHeight="1">
      <c r="A23" s="591" t="s">
        <v>329</v>
      </c>
      <c r="B23" s="584">
        <v>80110</v>
      </c>
      <c r="C23" s="101" t="s">
        <v>364</v>
      </c>
      <c r="D23" s="1197">
        <v>150238</v>
      </c>
      <c r="E23" s="1198">
        <v>150237.59</v>
      </c>
      <c r="F23" s="1755">
        <f t="shared" si="0"/>
        <v>99.99972709966852</v>
      </c>
      <c r="G23" s="1756" t="s">
        <v>1600</v>
      </c>
      <c r="H23" s="1760"/>
      <c r="I23" s="610"/>
      <c r="J23" s="583"/>
    </row>
    <row r="24" spans="1:10" s="97" customFormat="1" ht="24.75" customHeight="1">
      <c r="A24" s="591" t="s">
        <v>330</v>
      </c>
      <c r="B24" s="584">
        <v>80110</v>
      </c>
      <c r="C24" s="1112" t="s">
        <v>744</v>
      </c>
      <c r="D24" s="1197">
        <v>171571</v>
      </c>
      <c r="E24" s="1198">
        <v>171570.42</v>
      </c>
      <c r="F24" s="1755">
        <f t="shared" si="0"/>
        <v>99.99966194753193</v>
      </c>
      <c r="G24" s="1756" t="s">
        <v>1600</v>
      </c>
      <c r="H24" s="1289">
        <f>SUM(D23:D24)</f>
        <v>321809</v>
      </c>
      <c r="I24" s="1289">
        <f>SUM(E23:E24)</f>
        <v>321808.01</v>
      </c>
      <c r="J24" s="583"/>
    </row>
    <row r="25" spans="1:10" s="97" customFormat="1" ht="24.75" customHeight="1" hidden="1">
      <c r="A25" s="591" t="s">
        <v>330</v>
      </c>
      <c r="B25" s="584">
        <v>80110</v>
      </c>
      <c r="C25" s="1112" t="s">
        <v>1415</v>
      </c>
      <c r="D25" s="1197"/>
      <c r="E25" s="1198">
        <v>0</v>
      </c>
      <c r="F25" s="1755" t="e">
        <f t="shared" si="0"/>
        <v>#DIV/0!</v>
      </c>
      <c r="G25" s="1756" t="s">
        <v>1600</v>
      </c>
      <c r="H25" s="99"/>
      <c r="I25" s="610"/>
      <c r="J25" s="583"/>
    </row>
    <row r="26" spans="1:10" s="97" customFormat="1" ht="28.5" customHeight="1" hidden="1">
      <c r="A26" s="591" t="s">
        <v>1558</v>
      </c>
      <c r="B26" s="584">
        <v>80110</v>
      </c>
      <c r="C26" s="101" t="s">
        <v>1810</v>
      </c>
      <c r="D26" s="1197">
        <v>0</v>
      </c>
      <c r="E26" s="1198">
        <v>0</v>
      </c>
      <c r="F26" s="1755" t="e">
        <f t="shared" si="0"/>
        <v>#DIV/0!</v>
      </c>
      <c r="G26" s="1756" t="s">
        <v>1580</v>
      </c>
      <c r="H26" s="99"/>
      <c r="I26" s="610"/>
      <c r="J26" s="583"/>
    </row>
    <row r="27" spans="1:10" s="97" customFormat="1" ht="32.25" customHeight="1">
      <c r="A27" s="591" t="s">
        <v>1558</v>
      </c>
      <c r="B27" s="584">
        <v>80110</v>
      </c>
      <c r="C27" s="101" t="s">
        <v>786</v>
      </c>
      <c r="D27" s="1764">
        <v>200103</v>
      </c>
      <c r="E27" s="1765">
        <v>200102.5</v>
      </c>
      <c r="F27" s="1755">
        <f t="shared" si="0"/>
        <v>99.99975012868373</v>
      </c>
      <c r="G27" s="1756" t="s">
        <v>1580</v>
      </c>
      <c r="H27" s="1290"/>
      <c r="I27" s="1289"/>
      <c r="J27" s="583"/>
    </row>
    <row r="28" spans="1:10" s="97" customFormat="1" ht="39.75" customHeight="1">
      <c r="A28" s="591" t="s">
        <v>1560</v>
      </c>
      <c r="B28" s="1108">
        <v>85153</v>
      </c>
      <c r="C28" s="1109" t="s">
        <v>1191</v>
      </c>
      <c r="D28" s="1197">
        <f>9W!D320</f>
        <v>26052</v>
      </c>
      <c r="E28" s="1197">
        <f>9W!E320</f>
        <v>18777</v>
      </c>
      <c r="F28" s="1766">
        <f>E28/D28*100</f>
        <v>72.07508060801474</v>
      </c>
      <c r="G28" s="1756" t="s">
        <v>1602</v>
      </c>
      <c r="H28" s="99"/>
      <c r="I28" s="610"/>
      <c r="J28" s="583"/>
    </row>
    <row r="29" spans="1:10" s="97" customFormat="1" ht="27.75" customHeight="1">
      <c r="A29" s="591" t="s">
        <v>331</v>
      </c>
      <c r="B29" s="1108">
        <v>85154</v>
      </c>
      <c r="C29" s="1109" t="s">
        <v>793</v>
      </c>
      <c r="D29" s="1764">
        <v>89400</v>
      </c>
      <c r="E29" s="1764">
        <v>89383.89</v>
      </c>
      <c r="F29" s="1755">
        <f>E29/D29*100</f>
        <v>99.9819798657718</v>
      </c>
      <c r="G29" s="1756" t="s">
        <v>1602</v>
      </c>
      <c r="H29" s="99"/>
      <c r="I29" s="610"/>
      <c r="J29" s="583"/>
    </row>
    <row r="30" spans="1:10" s="97" customFormat="1" ht="27.75" customHeight="1">
      <c r="A30" s="591" t="s">
        <v>1561</v>
      </c>
      <c r="B30" s="584">
        <v>92109</v>
      </c>
      <c r="C30" s="1112" t="s">
        <v>127</v>
      </c>
      <c r="D30" s="1197">
        <f>9W!D527</f>
        <v>1773678</v>
      </c>
      <c r="E30" s="1197">
        <f>9W!E527</f>
        <v>1773678</v>
      </c>
      <c r="F30" s="1755">
        <f t="shared" si="0"/>
        <v>100</v>
      </c>
      <c r="G30" s="1756" t="s">
        <v>1601</v>
      </c>
      <c r="H30" s="99"/>
      <c r="I30" s="610"/>
      <c r="J30" s="583"/>
    </row>
    <row r="31" spans="1:10" s="97" customFormat="1" ht="27" customHeight="1">
      <c r="A31" s="591" t="s">
        <v>1562</v>
      </c>
      <c r="B31" s="584">
        <v>92116</v>
      </c>
      <c r="C31" s="1112" t="s">
        <v>235</v>
      </c>
      <c r="D31" s="1197">
        <f>SUM(9W!D533)</f>
        <v>1348605</v>
      </c>
      <c r="E31" s="1197">
        <f>SUM(9W!E533)</f>
        <v>1348605</v>
      </c>
      <c r="F31" s="1755">
        <f t="shared" si="0"/>
        <v>100</v>
      </c>
      <c r="G31" s="1756" t="s">
        <v>1601</v>
      </c>
      <c r="H31" s="99"/>
      <c r="I31" s="610"/>
      <c r="J31" s="583"/>
    </row>
    <row r="32" spans="1:10" s="97" customFormat="1" ht="24.75" customHeight="1">
      <c r="A32" s="591" t="s">
        <v>332</v>
      </c>
      <c r="B32" s="584">
        <v>92118</v>
      </c>
      <c r="C32" s="1112" t="s">
        <v>236</v>
      </c>
      <c r="D32" s="1197">
        <f>SUM(9W!D538)</f>
        <v>411794</v>
      </c>
      <c r="E32" s="1197">
        <f>SUM(9W!E538)</f>
        <v>411794</v>
      </c>
      <c r="F32" s="1755">
        <f t="shared" si="0"/>
        <v>100</v>
      </c>
      <c r="G32" s="1756" t="s">
        <v>1601</v>
      </c>
      <c r="H32" s="99"/>
      <c r="I32" s="610"/>
      <c r="J32" s="583"/>
    </row>
    <row r="33" spans="1:10" s="97" customFormat="1" ht="18" customHeight="1">
      <c r="A33" s="2039" t="s">
        <v>739</v>
      </c>
      <c r="B33" s="2040"/>
      <c r="C33" s="2041"/>
      <c r="D33" s="1113">
        <f>SUM(D34:D52)</f>
        <v>2731063</v>
      </c>
      <c r="E33" s="1113">
        <f>SUM(E34:E52)</f>
        <v>2729948.8</v>
      </c>
      <c r="F33" s="1114">
        <f t="shared" si="0"/>
        <v>99.95920269872938</v>
      </c>
      <c r="G33" s="98"/>
      <c r="H33" s="99"/>
      <c r="I33" s="610"/>
      <c r="J33" s="583"/>
    </row>
    <row r="34" spans="1:10" s="97" customFormat="1" ht="35.25" customHeight="1">
      <c r="A34" s="591" t="s">
        <v>1563</v>
      </c>
      <c r="B34" s="584">
        <v>80120</v>
      </c>
      <c r="C34" s="101" t="s">
        <v>426</v>
      </c>
      <c r="D34" s="1197">
        <v>269154</v>
      </c>
      <c r="E34" s="1198">
        <v>269153.61</v>
      </c>
      <c r="F34" s="1755">
        <f t="shared" si="0"/>
        <v>99.99985510154038</v>
      </c>
      <c r="G34" s="1756" t="s">
        <v>1600</v>
      </c>
      <c r="H34" s="610"/>
      <c r="I34" s="610"/>
      <c r="J34" s="1135"/>
    </row>
    <row r="35" spans="1:10" s="97" customFormat="1" ht="23.25" customHeight="1">
      <c r="A35" s="591" t="s">
        <v>1564</v>
      </c>
      <c r="B35" s="584">
        <v>80120</v>
      </c>
      <c r="C35" s="1112" t="s">
        <v>427</v>
      </c>
      <c r="D35" s="1197">
        <v>277926</v>
      </c>
      <c r="E35" s="1198">
        <v>277925.34</v>
      </c>
      <c r="F35" s="1755">
        <f t="shared" si="0"/>
        <v>99.99976252671576</v>
      </c>
      <c r="G35" s="1756" t="s">
        <v>1600</v>
      </c>
      <c r="H35" s="1289">
        <f>SUM(D34:D44)</f>
        <v>1148348</v>
      </c>
      <c r="I35" s="1289">
        <f>SUM(E34:E44)</f>
        <v>1148222.96</v>
      </c>
      <c r="J35" s="583"/>
    </row>
    <row r="36" spans="1:10" s="97" customFormat="1" ht="34.5" customHeight="1">
      <c r="A36" s="591" t="s">
        <v>1565</v>
      </c>
      <c r="B36" s="1108">
        <v>80120</v>
      </c>
      <c r="C36" s="1109" t="s">
        <v>1416</v>
      </c>
      <c r="D36" s="1764">
        <v>136655</v>
      </c>
      <c r="E36" s="1765">
        <v>136654.32</v>
      </c>
      <c r="F36" s="1766">
        <f t="shared" si="0"/>
        <v>99.99950239654605</v>
      </c>
      <c r="G36" s="1756" t="s">
        <v>1600</v>
      </c>
      <c r="H36" s="99"/>
      <c r="I36" s="610"/>
      <c r="J36" s="583"/>
    </row>
    <row r="37" spans="1:10" s="97" customFormat="1" ht="37.5" customHeight="1">
      <c r="A37" s="591" t="s">
        <v>1566</v>
      </c>
      <c r="B37" s="1108">
        <v>80120</v>
      </c>
      <c r="C37" s="1109" t="s">
        <v>1718</v>
      </c>
      <c r="D37" s="1764">
        <v>6086</v>
      </c>
      <c r="E37" s="1765">
        <v>5964.48</v>
      </c>
      <c r="F37" s="1766">
        <f t="shared" si="0"/>
        <v>98.00328623069339</v>
      </c>
      <c r="G37" s="1756" t="s">
        <v>1600</v>
      </c>
      <c r="H37" s="99"/>
      <c r="I37" s="610"/>
      <c r="J37" s="583"/>
    </row>
    <row r="38" spans="1:10" s="97" customFormat="1" ht="48" customHeight="1">
      <c r="A38" s="591" t="s">
        <v>1572</v>
      </c>
      <c r="B38" s="584">
        <v>80120</v>
      </c>
      <c r="C38" s="101" t="s">
        <v>1811</v>
      </c>
      <c r="D38" s="1197">
        <v>184207</v>
      </c>
      <c r="E38" s="1198">
        <v>184206.33</v>
      </c>
      <c r="F38" s="1755">
        <f t="shared" si="0"/>
        <v>99.99963627875161</v>
      </c>
      <c r="G38" s="1756" t="s">
        <v>1600</v>
      </c>
      <c r="H38" s="99"/>
      <c r="I38" s="610"/>
      <c r="J38" s="583"/>
    </row>
    <row r="39" spans="1:10" s="97" customFormat="1" ht="36.75" customHeight="1" hidden="1">
      <c r="A39" s="591" t="s">
        <v>1573</v>
      </c>
      <c r="B39" s="584">
        <v>80120</v>
      </c>
      <c r="C39" s="101" t="s">
        <v>1417</v>
      </c>
      <c r="D39" s="1197"/>
      <c r="E39" s="1198">
        <v>0</v>
      </c>
      <c r="F39" s="1755" t="e">
        <f t="shared" si="0"/>
        <v>#DIV/0!</v>
      </c>
      <c r="G39" s="1756" t="s">
        <v>1600</v>
      </c>
      <c r="H39" s="99"/>
      <c r="I39" s="610"/>
      <c r="J39" s="583"/>
    </row>
    <row r="40" spans="1:10" s="97" customFormat="1" ht="39.75" customHeight="1" hidden="1">
      <c r="A40" s="591" t="s">
        <v>1574</v>
      </c>
      <c r="B40" s="584">
        <v>80120</v>
      </c>
      <c r="C40" s="101" t="s">
        <v>1812</v>
      </c>
      <c r="D40" s="1197"/>
      <c r="E40" s="1198"/>
      <c r="F40" s="1755" t="e">
        <f t="shared" si="0"/>
        <v>#DIV/0!</v>
      </c>
      <c r="G40" s="1756" t="s">
        <v>1146</v>
      </c>
      <c r="H40" s="99"/>
      <c r="I40" s="610"/>
      <c r="J40" s="583"/>
    </row>
    <row r="41" spans="1:10" s="97" customFormat="1" ht="25.5" customHeight="1">
      <c r="A41" s="591" t="s">
        <v>1573</v>
      </c>
      <c r="B41" s="584">
        <v>80120</v>
      </c>
      <c r="C41" s="101" t="s">
        <v>1813</v>
      </c>
      <c r="D41" s="1197">
        <v>239698</v>
      </c>
      <c r="E41" s="1198">
        <v>239697.54</v>
      </c>
      <c r="F41" s="1755">
        <f t="shared" si="0"/>
        <v>99.99980809184892</v>
      </c>
      <c r="G41" s="1756" t="s">
        <v>1600</v>
      </c>
      <c r="H41" s="99"/>
      <c r="I41" s="610"/>
      <c r="J41" s="583"/>
    </row>
    <row r="42" spans="1:10" s="97" customFormat="1" ht="33" customHeight="1">
      <c r="A42" s="591" t="s">
        <v>1574</v>
      </c>
      <c r="B42" s="584">
        <v>80120</v>
      </c>
      <c r="C42" s="101" t="s">
        <v>146</v>
      </c>
      <c r="D42" s="1197">
        <v>34622</v>
      </c>
      <c r="E42" s="1198">
        <v>34621.34</v>
      </c>
      <c r="F42" s="1755">
        <f t="shared" si="0"/>
        <v>99.99809369764888</v>
      </c>
      <c r="G42" s="1756" t="s">
        <v>1600</v>
      </c>
      <c r="H42" s="99"/>
      <c r="I42" s="610"/>
      <c r="J42" s="583"/>
    </row>
    <row r="43" spans="1:10" s="97" customFormat="1" ht="39.75" customHeight="1" hidden="1">
      <c r="A43" s="591" t="s">
        <v>1184</v>
      </c>
      <c r="B43" s="584">
        <v>80120</v>
      </c>
      <c r="C43" s="101" t="s">
        <v>141</v>
      </c>
      <c r="D43" s="1122"/>
      <c r="E43" s="1288"/>
      <c r="F43" s="1097" t="e">
        <f t="shared" si="0"/>
        <v>#DIV/0!</v>
      </c>
      <c r="G43" s="98" t="s">
        <v>1579</v>
      </c>
      <c r="H43" s="99"/>
      <c r="I43" s="610"/>
      <c r="J43" s="583"/>
    </row>
    <row r="44" spans="1:10" s="97" customFormat="1" ht="45" customHeight="1" hidden="1">
      <c r="A44" s="591" t="s">
        <v>1183</v>
      </c>
      <c r="B44" s="584">
        <v>80120</v>
      </c>
      <c r="C44" s="101" t="s">
        <v>752</v>
      </c>
      <c r="D44" s="1122"/>
      <c r="E44" s="1288">
        <v>0</v>
      </c>
      <c r="F44" s="1097" t="e">
        <f t="shared" si="0"/>
        <v>#DIV/0!</v>
      </c>
      <c r="G44" s="98" t="s">
        <v>1600</v>
      </c>
      <c r="H44" s="99"/>
      <c r="I44" s="610"/>
      <c r="J44" s="583"/>
    </row>
    <row r="45" spans="1:10" s="97" customFormat="1" ht="35.25" customHeight="1">
      <c r="A45" s="591" t="s">
        <v>1575</v>
      </c>
      <c r="B45" s="584">
        <v>80130</v>
      </c>
      <c r="C45" s="101" t="s">
        <v>365</v>
      </c>
      <c r="D45" s="1197">
        <v>199004</v>
      </c>
      <c r="E45" s="1198">
        <v>199004</v>
      </c>
      <c r="F45" s="1755">
        <f>E45/D45*100</f>
        <v>100</v>
      </c>
      <c r="G45" s="1756" t="s">
        <v>1600</v>
      </c>
      <c r="H45" s="610"/>
      <c r="I45" s="610"/>
      <c r="J45" s="583"/>
    </row>
    <row r="46" spans="1:10" s="97" customFormat="1" ht="45" customHeight="1">
      <c r="A46" s="591" t="s">
        <v>1183</v>
      </c>
      <c r="B46" s="584">
        <v>80130</v>
      </c>
      <c r="C46" s="101" t="s">
        <v>753</v>
      </c>
      <c r="D46" s="1197">
        <v>473813</v>
      </c>
      <c r="E46" s="1198">
        <v>473812.02</v>
      </c>
      <c r="F46" s="1755">
        <f t="shared" si="0"/>
        <v>99.99979316734662</v>
      </c>
      <c r="G46" s="1756" t="s">
        <v>1580</v>
      </c>
      <c r="H46" s="1289">
        <f>SUM(D46:D47)</f>
        <v>508813</v>
      </c>
      <c r="I46" s="1289">
        <f>SUM(E46:E47)</f>
        <v>508812.02</v>
      </c>
      <c r="J46" s="583"/>
    </row>
    <row r="47" spans="1:10" s="97" customFormat="1" ht="34.5" customHeight="1">
      <c r="A47" s="591" t="s">
        <v>1184</v>
      </c>
      <c r="B47" s="1108">
        <v>85111</v>
      </c>
      <c r="C47" s="1109" t="s">
        <v>1191</v>
      </c>
      <c r="D47" s="1764">
        <f>9W!D725</f>
        <v>35000</v>
      </c>
      <c r="E47" s="1764">
        <f>9W!E725</f>
        <v>35000</v>
      </c>
      <c r="F47" s="1766">
        <f>E47/D47*100</f>
        <v>100</v>
      </c>
      <c r="G47" s="1756" t="s">
        <v>1602</v>
      </c>
      <c r="H47" s="99"/>
      <c r="I47" s="610"/>
      <c r="J47" s="583"/>
    </row>
    <row r="48" spans="1:10" s="97" customFormat="1" ht="37.5" customHeight="1">
      <c r="A48" s="591" t="s">
        <v>1185</v>
      </c>
      <c r="B48" s="584">
        <v>85117</v>
      </c>
      <c r="C48" s="101" t="s">
        <v>913</v>
      </c>
      <c r="D48" s="1197">
        <f>9W!D733</f>
        <v>30041</v>
      </c>
      <c r="E48" s="1197">
        <f>9W!E733</f>
        <v>29054</v>
      </c>
      <c r="F48" s="1755">
        <f>E48/D48*100</f>
        <v>96.71449019673113</v>
      </c>
      <c r="G48" s="1756" t="s">
        <v>1602</v>
      </c>
      <c r="H48" s="99"/>
      <c r="I48" s="610"/>
      <c r="J48" s="583"/>
    </row>
    <row r="49" spans="1:10" s="97" customFormat="1" ht="32.25" customHeight="1">
      <c r="A49" s="591" t="s">
        <v>1186</v>
      </c>
      <c r="B49" s="584">
        <v>85149</v>
      </c>
      <c r="C49" s="1112" t="s">
        <v>1713</v>
      </c>
      <c r="D49" s="1197">
        <f>9W!D741</f>
        <v>85000</v>
      </c>
      <c r="E49" s="1197">
        <f>9W!E741</f>
        <v>85000</v>
      </c>
      <c r="F49" s="1755">
        <f t="shared" si="0"/>
        <v>100</v>
      </c>
      <c r="G49" s="1756" t="s">
        <v>1602</v>
      </c>
      <c r="H49" s="99"/>
      <c r="I49" s="610"/>
      <c r="J49" s="583"/>
    </row>
    <row r="50" spans="1:10" s="97" customFormat="1" ht="26.25" customHeight="1">
      <c r="A50" s="591" t="s">
        <v>1268</v>
      </c>
      <c r="B50" s="1115">
        <v>85311</v>
      </c>
      <c r="C50" s="1116" t="s">
        <v>1598</v>
      </c>
      <c r="D50" s="1764">
        <f>SUM(9W!D798)</f>
        <v>41100</v>
      </c>
      <c r="E50" s="1764">
        <f>SUM(9W!E798)</f>
        <v>41100</v>
      </c>
      <c r="F50" s="1766">
        <f>E50/D50*100</f>
        <v>100</v>
      </c>
      <c r="G50" s="1756" t="s">
        <v>1579</v>
      </c>
      <c r="H50" s="99"/>
      <c r="I50" s="610"/>
      <c r="J50" s="583"/>
    </row>
    <row r="51" spans="1:10" s="97" customFormat="1" ht="45" customHeight="1">
      <c r="A51" s="591" t="s">
        <v>1269</v>
      </c>
      <c r="B51" s="1118">
        <v>85404</v>
      </c>
      <c r="C51" s="101" t="s">
        <v>1758</v>
      </c>
      <c r="D51" s="1767">
        <f>9W!D838</f>
        <v>45877</v>
      </c>
      <c r="E51" s="1767">
        <f>9W!E838</f>
        <v>45876.48</v>
      </c>
      <c r="F51" s="1766">
        <f>E51/D51*100</f>
        <v>99.99886653442903</v>
      </c>
      <c r="G51" s="1756" t="s">
        <v>1600</v>
      </c>
      <c r="H51" s="99"/>
      <c r="I51" s="610"/>
      <c r="J51" s="583"/>
    </row>
    <row r="52" spans="1:10" s="97" customFormat="1" ht="45" customHeight="1" thickBot="1">
      <c r="A52" s="1098" t="s">
        <v>1270</v>
      </c>
      <c r="B52" s="1099">
        <v>85419</v>
      </c>
      <c r="C52" s="1119" t="s">
        <v>1758</v>
      </c>
      <c r="D52" s="1757">
        <f>SUM(9W!D863)</f>
        <v>672880</v>
      </c>
      <c r="E52" s="1757">
        <f>SUM(9W!E863)</f>
        <v>672879.34</v>
      </c>
      <c r="F52" s="1758">
        <f t="shared" si="0"/>
        <v>99.99990191416003</v>
      </c>
      <c r="G52" s="1756" t="s">
        <v>1600</v>
      </c>
      <c r="H52" s="99"/>
      <c r="I52" s="610"/>
      <c r="J52" s="583"/>
    </row>
    <row r="53" spans="1:6" ht="18.75" customHeight="1" thickBot="1" thickTop="1">
      <c r="A53" s="2036" t="s">
        <v>740</v>
      </c>
      <c r="B53" s="2037"/>
      <c r="C53" s="2038"/>
      <c r="D53" s="483">
        <f>SUM(D16,D33)</f>
        <v>8198271</v>
      </c>
      <c r="E53" s="483">
        <f>SUM(E16,E33)</f>
        <v>8189854.7</v>
      </c>
      <c r="F53" s="484">
        <f t="shared" si="0"/>
        <v>99.89734054900113</v>
      </c>
    </row>
    <row r="54" spans="1:10" s="97" customFormat="1" ht="15.75" customHeight="1">
      <c r="A54" s="100"/>
      <c r="B54" s="100"/>
      <c r="G54" s="98"/>
      <c r="H54" s="99"/>
      <c r="I54" s="610"/>
      <c r="J54" s="583"/>
    </row>
    <row r="55" spans="1:10" s="97" customFormat="1" ht="55.5" customHeight="1" thickBot="1">
      <c r="A55" s="2021" t="s">
        <v>907</v>
      </c>
      <c r="B55" s="2021"/>
      <c r="C55" s="2021"/>
      <c r="D55" s="2021"/>
      <c r="E55" s="2021"/>
      <c r="F55" s="2021"/>
      <c r="G55" s="98"/>
      <c r="H55" s="99"/>
      <c r="I55" s="610"/>
      <c r="J55" s="583"/>
    </row>
    <row r="56" spans="1:10" s="125" customFormat="1" ht="20.25" customHeight="1">
      <c r="A56" s="567" t="s">
        <v>1219</v>
      </c>
      <c r="B56" s="568" t="s">
        <v>209</v>
      </c>
      <c r="C56" s="1010" t="s">
        <v>126</v>
      </c>
      <c r="D56" s="569" t="s">
        <v>211</v>
      </c>
      <c r="E56" s="1083" t="s">
        <v>212</v>
      </c>
      <c r="F56" s="570" t="s">
        <v>815</v>
      </c>
      <c r="G56" s="118"/>
      <c r="H56" s="1105"/>
      <c r="I56" s="1106"/>
      <c r="J56" s="1084"/>
    </row>
    <row r="57" spans="1:10" s="252" customFormat="1" ht="9.75" customHeight="1">
      <c r="A57" s="1085">
        <v>1</v>
      </c>
      <c r="B57" s="1086">
        <v>2</v>
      </c>
      <c r="C57" s="1086">
        <v>3</v>
      </c>
      <c r="D57" s="1086">
        <v>4</v>
      </c>
      <c r="E57" s="1087">
        <v>5</v>
      </c>
      <c r="F57" s="1088">
        <v>6</v>
      </c>
      <c r="G57" s="574"/>
      <c r="H57" s="1089"/>
      <c r="I57" s="1090"/>
      <c r="J57" s="1107"/>
    </row>
    <row r="58" spans="1:10" s="97" customFormat="1" ht="15.75" customHeight="1">
      <c r="A58" s="2013" t="s">
        <v>738</v>
      </c>
      <c r="B58" s="2014"/>
      <c r="C58" s="2015"/>
      <c r="D58" s="1093">
        <f>SUM(D60:D74)</f>
        <v>3656460</v>
      </c>
      <c r="E58" s="1093">
        <f>SUM(E60:E74)</f>
        <v>3574610.83</v>
      </c>
      <c r="F58" s="1094">
        <f>E58/D58*100</f>
        <v>97.76151879139934</v>
      </c>
      <c r="G58" s="98"/>
      <c r="H58" s="99"/>
      <c r="I58" s="610"/>
      <c r="J58" s="583"/>
    </row>
    <row r="59" spans="1:7" ht="24" customHeight="1" hidden="1">
      <c r="A59" s="372" t="s">
        <v>1222</v>
      </c>
      <c r="B59" s="370">
        <v>75095</v>
      </c>
      <c r="C59" s="489" t="s">
        <v>984</v>
      </c>
      <c r="D59" s="479"/>
      <c r="E59" s="479"/>
      <c r="F59" s="480" t="e">
        <f aca="true" t="shared" si="1" ref="F59:F79">E59/D59*100</f>
        <v>#DIV/0!</v>
      </c>
      <c r="G59" s="358" t="s">
        <v>1576</v>
      </c>
    </row>
    <row r="60" spans="1:10" s="97" customFormat="1" ht="24" customHeight="1">
      <c r="A60" s="591" t="s">
        <v>1222</v>
      </c>
      <c r="B60" s="584">
        <v>75415</v>
      </c>
      <c r="C60" s="1112" t="s">
        <v>1141</v>
      </c>
      <c r="D60" s="1197">
        <f>SUM(9W!D196)</f>
        <v>19000</v>
      </c>
      <c r="E60" s="1197">
        <f>SUM(9W!E196)</f>
        <v>19000</v>
      </c>
      <c r="F60" s="1755">
        <f t="shared" si="1"/>
        <v>100</v>
      </c>
      <c r="G60" s="1756" t="s">
        <v>1809</v>
      </c>
      <c r="H60" s="99"/>
      <c r="I60" s="610"/>
      <c r="J60" s="583"/>
    </row>
    <row r="61" spans="1:7" ht="24" customHeight="1" hidden="1">
      <c r="A61" s="372" t="s">
        <v>1548</v>
      </c>
      <c r="B61" s="370">
        <v>80113</v>
      </c>
      <c r="C61" s="489" t="s">
        <v>1210</v>
      </c>
      <c r="D61" s="545"/>
      <c r="E61" s="545"/>
      <c r="F61" s="1768" t="e">
        <f t="shared" si="1"/>
        <v>#DIV/0!</v>
      </c>
      <c r="G61" s="1769" t="s">
        <v>1576</v>
      </c>
    </row>
    <row r="62" spans="1:7" ht="24" customHeight="1">
      <c r="A62" s="1807" t="s">
        <v>1223</v>
      </c>
      <c r="B62" s="1808">
        <v>80195</v>
      </c>
      <c r="C62" s="1809" t="s">
        <v>129</v>
      </c>
      <c r="D62" s="1810">
        <v>5000</v>
      </c>
      <c r="E62" s="1810">
        <v>5000</v>
      </c>
      <c r="F62" s="1811">
        <f t="shared" si="1"/>
        <v>100</v>
      </c>
      <c r="G62" s="1812" t="s">
        <v>1809</v>
      </c>
    </row>
    <row r="63" spans="1:10" s="97" customFormat="1" ht="24" customHeight="1">
      <c r="A63" s="1807" t="s">
        <v>1548</v>
      </c>
      <c r="B63" s="1808">
        <v>85149</v>
      </c>
      <c r="C63" s="1809" t="s">
        <v>1713</v>
      </c>
      <c r="D63" s="1810">
        <f>SUM(9W!D307)</f>
        <v>11000</v>
      </c>
      <c r="E63" s="1810">
        <f>SUM(9W!E307)</f>
        <v>6000</v>
      </c>
      <c r="F63" s="1811">
        <f t="shared" si="1"/>
        <v>54.54545454545454</v>
      </c>
      <c r="G63" s="1812" t="s">
        <v>1809</v>
      </c>
      <c r="H63" s="99"/>
      <c r="I63" s="610"/>
      <c r="J63" s="583"/>
    </row>
    <row r="64" spans="1:7" ht="35.25" customHeight="1">
      <c r="A64" s="1807" t="s">
        <v>1555</v>
      </c>
      <c r="B64" s="1808">
        <v>85152</v>
      </c>
      <c r="C64" s="1813" t="s">
        <v>750</v>
      </c>
      <c r="D64" s="1810">
        <f>SUM(9W!D315)</f>
        <v>6500</v>
      </c>
      <c r="E64" s="1810">
        <f>SUM(9W!E315)</f>
        <v>6500</v>
      </c>
      <c r="F64" s="1811">
        <f t="shared" si="1"/>
        <v>100</v>
      </c>
      <c r="G64" s="1812" t="s">
        <v>1809</v>
      </c>
    </row>
    <row r="65" spans="1:10" s="97" customFormat="1" ht="40.5" customHeight="1" hidden="1">
      <c r="A65" s="1807" t="s">
        <v>1548</v>
      </c>
      <c r="B65" s="1814">
        <v>85153</v>
      </c>
      <c r="C65" s="1815" t="s">
        <v>796</v>
      </c>
      <c r="D65" s="1816">
        <v>0</v>
      </c>
      <c r="E65" s="1816">
        <v>0</v>
      </c>
      <c r="F65" s="1817" t="e">
        <f t="shared" si="1"/>
        <v>#DIV/0!</v>
      </c>
      <c r="G65" s="1812" t="s">
        <v>1809</v>
      </c>
      <c r="H65" s="99"/>
      <c r="I65" s="610"/>
      <c r="J65" s="583"/>
    </row>
    <row r="66" spans="1:10" s="97" customFormat="1" ht="29.25" customHeight="1">
      <c r="A66" s="1807" t="s">
        <v>1556</v>
      </c>
      <c r="B66" s="1808">
        <v>85154</v>
      </c>
      <c r="C66" s="1813" t="s">
        <v>797</v>
      </c>
      <c r="D66" s="1810">
        <v>649000</v>
      </c>
      <c r="E66" s="1810">
        <v>640216.54</v>
      </c>
      <c r="F66" s="1811">
        <f t="shared" si="1"/>
        <v>98.64661633281972</v>
      </c>
      <c r="G66" s="1812" t="s">
        <v>1809</v>
      </c>
      <c r="H66" s="99"/>
      <c r="I66" s="610"/>
      <c r="J66" s="583"/>
    </row>
    <row r="67" spans="1:10" s="97" customFormat="1" ht="28.5" customHeight="1">
      <c r="A67" s="591" t="s">
        <v>1557</v>
      </c>
      <c r="B67" s="1108">
        <v>85195</v>
      </c>
      <c r="C67" s="1109" t="s">
        <v>798</v>
      </c>
      <c r="D67" s="1764">
        <f>9W!D338</f>
        <v>18000</v>
      </c>
      <c r="E67" s="1764">
        <f>9W!E338</f>
        <v>18000</v>
      </c>
      <c r="F67" s="1766">
        <f t="shared" si="1"/>
        <v>100</v>
      </c>
      <c r="G67" s="1756" t="s">
        <v>1809</v>
      </c>
      <c r="H67" s="99"/>
      <c r="I67" s="610"/>
      <c r="J67" s="583"/>
    </row>
    <row r="68" spans="1:10" s="97" customFormat="1" ht="24" customHeight="1">
      <c r="A68" s="591" t="s">
        <v>329</v>
      </c>
      <c r="B68" s="1120">
        <v>85203</v>
      </c>
      <c r="C68" s="1121" t="s">
        <v>1279</v>
      </c>
      <c r="D68" s="1197">
        <f>SUM(9W!D356)</f>
        <v>198740</v>
      </c>
      <c r="E68" s="1197">
        <f>SUM(9W!E356)</f>
        <v>190380</v>
      </c>
      <c r="F68" s="1755">
        <f t="shared" si="1"/>
        <v>95.79349904397706</v>
      </c>
      <c r="G68" s="1756" t="s">
        <v>1809</v>
      </c>
      <c r="H68" s="99"/>
      <c r="I68" s="610"/>
      <c r="J68" s="583"/>
    </row>
    <row r="69" spans="1:10" s="97" customFormat="1" ht="24" customHeight="1">
      <c r="A69" s="591" t="s">
        <v>330</v>
      </c>
      <c r="B69" s="1115">
        <v>85305</v>
      </c>
      <c r="C69" s="1116" t="s">
        <v>1143</v>
      </c>
      <c r="D69" s="1764">
        <f>9W!D427</f>
        <v>48000</v>
      </c>
      <c r="E69" s="1764">
        <f>9W!E427</f>
        <v>45800</v>
      </c>
      <c r="F69" s="1755">
        <f t="shared" si="1"/>
        <v>95.41666666666667</v>
      </c>
      <c r="G69" s="1756" t="s">
        <v>1144</v>
      </c>
      <c r="H69" s="99"/>
      <c r="I69" s="610"/>
      <c r="J69" s="583"/>
    </row>
    <row r="70" spans="1:10" s="97" customFormat="1" ht="21.75" customHeight="1">
      <c r="A70" s="591" t="s">
        <v>1558</v>
      </c>
      <c r="B70" s="1108">
        <v>85395</v>
      </c>
      <c r="C70" s="1123" t="s">
        <v>745</v>
      </c>
      <c r="D70" s="1764">
        <f>SUM(9W!D435)</f>
        <v>748900</v>
      </c>
      <c r="E70" s="1764">
        <f>SUM(9W!E435)</f>
        <v>748810.54</v>
      </c>
      <c r="F70" s="1766">
        <f t="shared" si="1"/>
        <v>99.98805447990387</v>
      </c>
      <c r="G70" s="1756" t="s">
        <v>1809</v>
      </c>
      <c r="H70" s="99"/>
      <c r="I70" s="610"/>
      <c r="J70" s="583"/>
    </row>
    <row r="71" spans="1:10" s="97" customFormat="1" ht="22.5" customHeight="1">
      <c r="A71" s="591" t="s">
        <v>1560</v>
      </c>
      <c r="B71" s="1108">
        <v>90013</v>
      </c>
      <c r="C71" s="1123" t="s">
        <v>1741</v>
      </c>
      <c r="D71" s="1764">
        <f>SUM(9W!D497)</f>
        <v>340000</v>
      </c>
      <c r="E71" s="1764">
        <f>SUM(9W!E497)</f>
        <v>283334</v>
      </c>
      <c r="F71" s="1766">
        <f t="shared" si="1"/>
        <v>83.3335294117647</v>
      </c>
      <c r="G71" s="1756" t="s">
        <v>1809</v>
      </c>
      <c r="H71" s="99"/>
      <c r="I71" s="610"/>
      <c r="J71" s="583"/>
    </row>
    <row r="72" spans="1:10" s="97" customFormat="1" ht="24" customHeight="1">
      <c r="A72" s="591" t="s">
        <v>331</v>
      </c>
      <c r="B72" s="1108">
        <v>90095</v>
      </c>
      <c r="C72" s="1109" t="s">
        <v>912</v>
      </c>
      <c r="D72" s="1764">
        <f>SUM(9W!D517)</f>
        <v>22000</v>
      </c>
      <c r="E72" s="1764">
        <f>SUM(9W!E517)</f>
        <v>22000</v>
      </c>
      <c r="F72" s="1766">
        <f t="shared" si="1"/>
        <v>100</v>
      </c>
      <c r="G72" s="1756" t="s">
        <v>1809</v>
      </c>
      <c r="H72" s="99"/>
      <c r="I72" s="610"/>
      <c r="J72" s="583"/>
    </row>
    <row r="73" spans="1:10" s="97" customFormat="1" ht="30" customHeight="1">
      <c r="A73" s="591" t="s">
        <v>1561</v>
      </c>
      <c r="B73" s="584">
        <v>92195</v>
      </c>
      <c r="C73" s="101" t="s">
        <v>1707</v>
      </c>
      <c r="D73" s="1197">
        <f>SUM(9W!D553)</f>
        <v>410240</v>
      </c>
      <c r="E73" s="1197">
        <f>SUM(9W!E553)</f>
        <v>409489.75</v>
      </c>
      <c r="F73" s="1755">
        <f t="shared" si="1"/>
        <v>99.81711924726989</v>
      </c>
      <c r="G73" s="1763" t="s">
        <v>1145</v>
      </c>
      <c r="H73" s="99"/>
      <c r="I73" s="610"/>
      <c r="J73" s="583"/>
    </row>
    <row r="74" spans="1:10" s="97" customFormat="1" ht="24" customHeight="1">
      <c r="A74" s="591" t="s">
        <v>1562</v>
      </c>
      <c r="B74" s="584">
        <v>92605</v>
      </c>
      <c r="C74" s="1112" t="s">
        <v>110</v>
      </c>
      <c r="D74" s="1197">
        <f>9W!D567-D10</f>
        <v>1180080</v>
      </c>
      <c r="E74" s="1197">
        <f>9W!E567-E10</f>
        <v>1180080</v>
      </c>
      <c r="F74" s="1755">
        <f t="shared" si="1"/>
        <v>100</v>
      </c>
      <c r="G74" s="1756" t="s">
        <v>1809</v>
      </c>
      <c r="H74" s="99"/>
      <c r="I74" s="610"/>
      <c r="J74" s="583"/>
    </row>
    <row r="75" spans="1:10" s="97" customFormat="1" ht="17.25" customHeight="1">
      <c r="A75" s="2013" t="s">
        <v>739</v>
      </c>
      <c r="B75" s="2014"/>
      <c r="C75" s="2015"/>
      <c r="D75" s="1093">
        <f>SUM(D76,D77,D78)</f>
        <v>35000</v>
      </c>
      <c r="E75" s="1093">
        <f>SUM(E76,E77,E78)</f>
        <v>35000</v>
      </c>
      <c r="F75" s="1094">
        <f t="shared" si="1"/>
        <v>100</v>
      </c>
      <c r="G75" s="98"/>
      <c r="H75" s="99"/>
      <c r="I75" s="610"/>
      <c r="J75" s="583"/>
    </row>
    <row r="76" spans="1:7" ht="30.75" customHeight="1" hidden="1">
      <c r="A76" s="372" t="s">
        <v>1564</v>
      </c>
      <c r="B76" s="370">
        <v>85201</v>
      </c>
      <c r="C76" s="369" t="s">
        <v>799</v>
      </c>
      <c r="D76" s="479">
        <f>SUM(9W!D758)</f>
        <v>0</v>
      </c>
      <c r="E76" s="479">
        <f>SUM(9W!E758)</f>
        <v>0</v>
      </c>
      <c r="F76" s="480" t="e">
        <f t="shared" si="1"/>
        <v>#DIV/0!</v>
      </c>
      <c r="G76" s="358" t="s">
        <v>1578</v>
      </c>
    </row>
    <row r="77" spans="1:7" ht="26.25" customHeight="1" hidden="1">
      <c r="A77" s="372" t="s">
        <v>1562</v>
      </c>
      <c r="B77" s="492">
        <v>85204</v>
      </c>
      <c r="C77" s="493" t="s">
        <v>800</v>
      </c>
      <c r="D77" s="487">
        <v>0</v>
      </c>
      <c r="E77" s="487">
        <f>SUM(9W!E771)</f>
        <v>0</v>
      </c>
      <c r="F77" s="480" t="e">
        <f>E77/D77*100</f>
        <v>#DIV/0!</v>
      </c>
      <c r="G77" s="358" t="s">
        <v>1578</v>
      </c>
    </row>
    <row r="78" spans="1:10" s="97" customFormat="1" ht="24.75" customHeight="1" thickBot="1">
      <c r="A78" s="1098" t="s">
        <v>332</v>
      </c>
      <c r="B78" s="1124">
        <v>85321</v>
      </c>
      <c r="C78" s="1125" t="s">
        <v>1710</v>
      </c>
      <c r="D78" s="1757">
        <f>SUM(9W!D803)</f>
        <v>35000</v>
      </c>
      <c r="E78" s="1757">
        <f>SUM(9W!E803)</f>
        <v>35000</v>
      </c>
      <c r="F78" s="1758">
        <f>E78/D78*100</f>
        <v>100</v>
      </c>
      <c r="G78" s="1756" t="s">
        <v>1578</v>
      </c>
      <c r="H78" s="99"/>
      <c r="I78" s="610"/>
      <c r="J78" s="583"/>
    </row>
    <row r="79" spans="1:10" s="97" customFormat="1" ht="18" customHeight="1" thickBot="1" thickTop="1">
      <c r="A79" s="2023" t="s">
        <v>740</v>
      </c>
      <c r="B79" s="2024"/>
      <c r="C79" s="2025"/>
      <c r="D79" s="1103">
        <f>SUM(D58,D75)</f>
        <v>3691460</v>
      </c>
      <c r="E79" s="1103">
        <f>SUM(E58,E75)</f>
        <v>3609610.83</v>
      </c>
      <c r="F79" s="1104">
        <f t="shared" si="1"/>
        <v>97.78274260048869</v>
      </c>
      <c r="G79" s="98"/>
      <c r="H79" s="99"/>
      <c r="I79" s="610"/>
      <c r="J79" s="583"/>
    </row>
    <row r="80" spans="1:10" s="97" customFormat="1" ht="15" customHeight="1">
      <c r="A80" s="100"/>
      <c r="B80" s="100"/>
      <c r="G80" s="98"/>
      <c r="H80" s="99"/>
      <c r="I80" s="610"/>
      <c r="J80" s="583"/>
    </row>
    <row r="81" spans="1:10" s="97" customFormat="1" ht="32.25" customHeight="1" thickBot="1">
      <c r="A81" s="2021" t="s">
        <v>368</v>
      </c>
      <c r="B81" s="2021"/>
      <c r="C81" s="2021"/>
      <c r="D81" s="2021"/>
      <c r="E81" s="2021"/>
      <c r="F81" s="2021"/>
      <c r="G81" s="98"/>
      <c r="H81" s="99"/>
      <c r="I81" s="610"/>
      <c r="J81" s="583"/>
    </row>
    <row r="82" spans="1:10" s="97" customFormat="1" ht="17.25" customHeight="1">
      <c r="A82" s="567" t="s">
        <v>1219</v>
      </c>
      <c r="B82" s="568" t="s">
        <v>209</v>
      </c>
      <c r="C82" s="1010" t="s">
        <v>126</v>
      </c>
      <c r="D82" s="569" t="s">
        <v>211</v>
      </c>
      <c r="E82" s="1083" t="s">
        <v>212</v>
      </c>
      <c r="F82" s="570" t="s">
        <v>213</v>
      </c>
      <c r="G82" s="98"/>
      <c r="H82" s="99"/>
      <c r="I82" s="610"/>
      <c r="J82" s="583"/>
    </row>
    <row r="83" spans="1:10" s="97" customFormat="1" ht="12" customHeight="1">
      <c r="A83" s="1085">
        <v>1</v>
      </c>
      <c r="B83" s="1086">
        <v>2</v>
      </c>
      <c r="C83" s="1086">
        <v>3</v>
      </c>
      <c r="D83" s="1086">
        <v>4</v>
      </c>
      <c r="E83" s="1087">
        <v>5</v>
      </c>
      <c r="F83" s="1088">
        <v>6</v>
      </c>
      <c r="G83" s="98"/>
      <c r="H83" s="99"/>
      <c r="I83" s="610"/>
      <c r="J83" s="583"/>
    </row>
    <row r="84" spans="1:10" s="97" customFormat="1" ht="18" customHeight="1">
      <c r="A84" s="2013" t="s">
        <v>738</v>
      </c>
      <c r="B84" s="2014"/>
      <c r="C84" s="2015"/>
      <c r="D84" s="1093">
        <f>SUM(D85,D86)</f>
        <v>2787193</v>
      </c>
      <c r="E84" s="1093">
        <f>SUM(E85,E86)</f>
        <v>1880506.66</v>
      </c>
      <c r="F84" s="1094">
        <f aca="true" t="shared" si="2" ref="F84:F91">E84/D84*100</f>
        <v>67.46955305929657</v>
      </c>
      <c r="G84" s="98"/>
      <c r="H84" s="99"/>
      <c r="I84" s="610"/>
      <c r="J84" s="583"/>
    </row>
    <row r="85" spans="1:10" s="97" customFormat="1" ht="24" customHeight="1">
      <c r="A85" s="591" t="s">
        <v>1222</v>
      </c>
      <c r="B85" s="1127" t="s">
        <v>1699</v>
      </c>
      <c r="C85" s="101" t="s">
        <v>1700</v>
      </c>
      <c r="D85" s="1197">
        <f>SUM(9W!D16)</f>
        <v>1900</v>
      </c>
      <c r="E85" s="1197">
        <f>SUM(9W!E16)</f>
        <v>1255.66</v>
      </c>
      <c r="F85" s="1755">
        <f t="shared" si="2"/>
        <v>66.08736842105264</v>
      </c>
      <c r="G85" s="1756" t="s">
        <v>145</v>
      </c>
      <c r="H85" s="99"/>
      <c r="I85" s="610"/>
      <c r="J85" s="583"/>
    </row>
    <row r="86" spans="1:10" s="97" customFormat="1" ht="24" customHeight="1">
      <c r="A86" s="591" t="s">
        <v>1223</v>
      </c>
      <c r="B86" s="1127" t="s">
        <v>1732</v>
      </c>
      <c r="C86" s="101" t="s">
        <v>142</v>
      </c>
      <c r="D86" s="1197">
        <f>9W!D506</f>
        <v>2785293</v>
      </c>
      <c r="E86" s="1197">
        <f>9W!E506</f>
        <v>1879251</v>
      </c>
      <c r="F86" s="1755">
        <f t="shared" si="2"/>
        <v>67.47049592269107</v>
      </c>
      <c r="G86" s="1756" t="s">
        <v>143</v>
      </c>
      <c r="H86" s="99"/>
      <c r="I86" s="610"/>
      <c r="J86" s="583"/>
    </row>
    <row r="87" spans="1:10" s="97" customFormat="1" ht="18" customHeight="1">
      <c r="A87" s="2013" t="s">
        <v>739</v>
      </c>
      <c r="B87" s="2014"/>
      <c r="C87" s="2015"/>
      <c r="D87" s="1093">
        <f>SUM(D88,D89,D90)</f>
        <v>172188</v>
      </c>
      <c r="E87" s="1093">
        <f>SUM(E88,E89,E90)</f>
        <v>130000</v>
      </c>
      <c r="F87" s="1094">
        <f t="shared" si="2"/>
        <v>75.49887332450578</v>
      </c>
      <c r="G87" s="98"/>
      <c r="H87" s="99"/>
      <c r="I87" s="610"/>
      <c r="J87" s="583"/>
    </row>
    <row r="88" spans="1:7" ht="21.75" customHeight="1">
      <c r="A88" s="372" t="s">
        <v>1548</v>
      </c>
      <c r="B88" s="584">
        <v>75405</v>
      </c>
      <c r="C88" s="101" t="s">
        <v>1728</v>
      </c>
      <c r="D88" s="1197">
        <f>SUM(9W!D639)</f>
        <v>130000</v>
      </c>
      <c r="E88" s="1197">
        <f>SUM(9W!E639)</f>
        <v>130000</v>
      </c>
      <c r="F88" s="1755">
        <f>E88/D88*100</f>
        <v>100</v>
      </c>
      <c r="G88" s="1756" t="s">
        <v>144</v>
      </c>
    </row>
    <row r="89" spans="1:10" s="97" customFormat="1" ht="24" customHeight="1">
      <c r="A89" s="591" t="s">
        <v>1555</v>
      </c>
      <c r="B89" s="584">
        <v>75411</v>
      </c>
      <c r="C89" s="101" t="s">
        <v>361</v>
      </c>
      <c r="D89" s="1197">
        <f>SUM(9W!D652)</f>
        <v>42000</v>
      </c>
      <c r="E89" s="1197">
        <f>SUM(9W!E652)</f>
        <v>0</v>
      </c>
      <c r="F89" s="1755">
        <f>E89/D89*100</f>
        <v>0</v>
      </c>
      <c r="G89" s="1756" t="s">
        <v>144</v>
      </c>
      <c r="H89" s="99"/>
      <c r="I89" s="610"/>
      <c r="J89" s="583"/>
    </row>
    <row r="90" spans="1:10" s="97" customFormat="1" ht="24" customHeight="1" thickBot="1">
      <c r="A90" s="1098" t="s">
        <v>1556</v>
      </c>
      <c r="B90" s="1099">
        <v>85204</v>
      </c>
      <c r="C90" s="1834" t="s">
        <v>773</v>
      </c>
      <c r="D90" s="1757">
        <v>188</v>
      </c>
      <c r="E90" s="1757">
        <f>SUM(9W!E771)</f>
        <v>0</v>
      </c>
      <c r="F90" s="1758">
        <f t="shared" si="2"/>
        <v>0</v>
      </c>
      <c r="G90" s="1756" t="s">
        <v>1075</v>
      </c>
      <c r="H90" s="99"/>
      <c r="I90" s="610"/>
      <c r="J90" s="583"/>
    </row>
    <row r="91" spans="1:10" s="97" customFormat="1" ht="17.25" customHeight="1" thickBot="1" thickTop="1">
      <c r="A91" s="2023" t="s">
        <v>741</v>
      </c>
      <c r="B91" s="2024"/>
      <c r="C91" s="2025"/>
      <c r="D91" s="1103">
        <f>SUM(D84,D87)</f>
        <v>2959381</v>
      </c>
      <c r="E91" s="1103">
        <f>SUM(E84,E87)</f>
        <v>2010506.66</v>
      </c>
      <c r="F91" s="1104">
        <f t="shared" si="2"/>
        <v>67.93672933630377</v>
      </c>
      <c r="G91" s="98"/>
      <c r="H91" s="99"/>
      <c r="I91" s="610"/>
      <c r="J91" s="583"/>
    </row>
    <row r="92" spans="1:10" s="97" customFormat="1" ht="15" customHeight="1">
      <c r="A92" s="100"/>
      <c r="B92" s="100"/>
      <c r="G92" s="98"/>
      <c r="H92" s="99"/>
      <c r="I92" s="610"/>
      <c r="J92" s="583"/>
    </row>
    <row r="93" spans="1:10" s="97" customFormat="1" ht="48.75" customHeight="1" thickBot="1">
      <c r="A93" s="2021" t="s">
        <v>367</v>
      </c>
      <c r="B93" s="2021"/>
      <c r="C93" s="2021"/>
      <c r="D93" s="2021"/>
      <c r="E93" s="2021"/>
      <c r="F93" s="2021"/>
      <c r="G93" s="1129"/>
      <c r="H93" s="99"/>
      <c r="I93" s="610"/>
      <c r="J93" s="583"/>
    </row>
    <row r="94" spans="1:10" s="97" customFormat="1" ht="20.25" customHeight="1">
      <c r="A94" s="567" t="s">
        <v>1219</v>
      </c>
      <c r="B94" s="568" t="s">
        <v>209</v>
      </c>
      <c r="C94" s="1010" t="s">
        <v>126</v>
      </c>
      <c r="D94" s="569" t="s">
        <v>211</v>
      </c>
      <c r="E94" s="1083" t="s">
        <v>212</v>
      </c>
      <c r="F94" s="570" t="s">
        <v>213</v>
      </c>
      <c r="G94" s="98"/>
      <c r="H94" s="99"/>
      <c r="I94" s="610"/>
      <c r="J94" s="583"/>
    </row>
    <row r="95" spans="1:10" s="252" customFormat="1" ht="10.5" customHeight="1">
      <c r="A95" s="1085">
        <v>1</v>
      </c>
      <c r="B95" s="1086">
        <v>2</v>
      </c>
      <c r="C95" s="1086">
        <v>3</v>
      </c>
      <c r="D95" s="1086">
        <v>4</v>
      </c>
      <c r="E95" s="1087">
        <v>5</v>
      </c>
      <c r="F95" s="1088">
        <v>6</v>
      </c>
      <c r="G95" s="574"/>
      <c r="H95" s="1089"/>
      <c r="I95" s="1090"/>
      <c r="J95" s="1107"/>
    </row>
    <row r="96" spans="1:10" s="97" customFormat="1" ht="18.75" customHeight="1">
      <c r="A96" s="2013" t="s">
        <v>738</v>
      </c>
      <c r="B96" s="2014"/>
      <c r="C96" s="2015"/>
      <c r="D96" s="1093">
        <f>SUM(D97:D103)</f>
        <v>4497643</v>
      </c>
      <c r="E96" s="1093">
        <f>SUM(E97:E103)</f>
        <v>2945777.28</v>
      </c>
      <c r="F96" s="1094">
        <f>E96/D96*100</f>
        <v>65.49602269455357</v>
      </c>
      <c r="G96" s="98"/>
      <c r="H96" s="99"/>
      <c r="I96" s="610"/>
      <c r="J96" s="583"/>
    </row>
    <row r="97" spans="1:10" s="97" customFormat="1" ht="24" customHeight="1">
      <c r="A97" s="591" t="s">
        <v>1222</v>
      </c>
      <c r="B97" s="584">
        <v>70001</v>
      </c>
      <c r="C97" s="101" t="s">
        <v>1545</v>
      </c>
      <c r="D97" s="1197">
        <f>SUM(9W!D75,9W!D76)</f>
        <v>2796983</v>
      </c>
      <c r="E97" s="1197">
        <f>SUM(9W!E75,9W!E76)</f>
        <v>2080332.72</v>
      </c>
      <c r="F97" s="1755">
        <f aca="true" t="shared" si="3" ref="F97:F109">E97/D97*100</f>
        <v>74.3777391567986</v>
      </c>
      <c r="G97" s="1756" t="s">
        <v>1603</v>
      </c>
      <c r="H97" s="99"/>
      <c r="I97" s="610"/>
      <c r="J97" s="583"/>
    </row>
    <row r="98" spans="1:7" ht="24" customHeight="1">
      <c r="A98" s="1807" t="s">
        <v>1223</v>
      </c>
      <c r="B98" s="1808">
        <v>85154</v>
      </c>
      <c r="C98" s="1809" t="s">
        <v>1708</v>
      </c>
      <c r="D98" s="1810">
        <v>40520</v>
      </c>
      <c r="E98" s="1810">
        <v>34440</v>
      </c>
      <c r="F98" s="1768">
        <f t="shared" si="3"/>
        <v>84.99506416584403</v>
      </c>
      <c r="G98" s="1769" t="s">
        <v>1603</v>
      </c>
    </row>
    <row r="99" spans="1:10" s="97" customFormat="1" ht="24" customHeight="1">
      <c r="A99" s="1807" t="s">
        <v>1548</v>
      </c>
      <c r="B99" s="1808">
        <v>92109</v>
      </c>
      <c r="C99" s="1809" t="s">
        <v>127</v>
      </c>
      <c r="D99" s="1810">
        <v>161500</v>
      </c>
      <c r="E99" s="1810">
        <v>0</v>
      </c>
      <c r="F99" s="1755">
        <f t="shared" si="3"/>
        <v>0</v>
      </c>
      <c r="G99" s="1756" t="s">
        <v>1604</v>
      </c>
      <c r="H99" s="99"/>
      <c r="I99" s="610"/>
      <c r="J99" s="583"/>
    </row>
    <row r="100" spans="1:10" s="97" customFormat="1" ht="24" customHeight="1">
      <c r="A100" s="591" t="s">
        <v>1555</v>
      </c>
      <c r="B100" s="584">
        <v>92116</v>
      </c>
      <c r="C100" s="1112" t="s">
        <v>235</v>
      </c>
      <c r="D100" s="1197">
        <f>9W!D535</f>
        <v>125000</v>
      </c>
      <c r="E100" s="1197">
        <f>9W!E535</f>
        <v>125000</v>
      </c>
      <c r="F100" s="1755">
        <f t="shared" si="3"/>
        <v>100</v>
      </c>
      <c r="G100" s="1756" t="s">
        <v>1604</v>
      </c>
      <c r="H100" s="99"/>
      <c r="I100" s="610"/>
      <c r="J100" s="583"/>
    </row>
    <row r="101" spans="1:10" s="97" customFormat="1" ht="24" customHeight="1">
      <c r="A101" s="591" t="s">
        <v>1556</v>
      </c>
      <c r="B101" s="584">
        <v>92118</v>
      </c>
      <c r="C101" s="1112" t="s">
        <v>236</v>
      </c>
      <c r="D101" s="1197">
        <f>9W!D540</f>
        <v>69000</v>
      </c>
      <c r="E101" s="1197">
        <f>9W!E540</f>
        <v>28540</v>
      </c>
      <c r="F101" s="1755">
        <f t="shared" si="3"/>
        <v>41.36231884057971</v>
      </c>
      <c r="G101" s="1756" t="s">
        <v>1604</v>
      </c>
      <c r="H101" s="99"/>
      <c r="I101" s="610"/>
      <c r="J101" s="583"/>
    </row>
    <row r="102" spans="1:7" ht="24" customHeight="1" hidden="1">
      <c r="A102" s="372" t="s">
        <v>1548</v>
      </c>
      <c r="B102" s="370">
        <v>92120</v>
      </c>
      <c r="C102" s="489" t="s">
        <v>421</v>
      </c>
      <c r="D102" s="545"/>
      <c r="E102" s="545">
        <v>0</v>
      </c>
      <c r="F102" s="1768" t="e">
        <f t="shared" si="3"/>
        <v>#DIV/0!</v>
      </c>
      <c r="G102" s="1769" t="s">
        <v>422</v>
      </c>
    </row>
    <row r="103" spans="1:10" s="97" customFormat="1" ht="24" customHeight="1">
      <c r="A103" s="591" t="s">
        <v>1557</v>
      </c>
      <c r="B103" s="584">
        <v>92605</v>
      </c>
      <c r="C103" s="1112" t="s">
        <v>1708</v>
      </c>
      <c r="D103" s="1197">
        <f>9W!D570</f>
        <v>1304640</v>
      </c>
      <c r="E103" s="1197">
        <f>9W!E570</f>
        <v>677464.56</v>
      </c>
      <c r="F103" s="1755">
        <f t="shared" si="3"/>
        <v>51.92731788079471</v>
      </c>
      <c r="G103" s="1756" t="s">
        <v>1603</v>
      </c>
      <c r="H103" s="99"/>
      <c r="I103" s="610"/>
      <c r="J103" s="583"/>
    </row>
    <row r="104" spans="1:10" s="98" customFormat="1" ht="20.25" customHeight="1">
      <c r="A104" s="2013" t="s">
        <v>739</v>
      </c>
      <c r="B104" s="2014"/>
      <c r="C104" s="2015"/>
      <c r="D104" s="1130">
        <f>SUM(D105,D106,D107,D108)</f>
        <v>404000</v>
      </c>
      <c r="E104" s="1130">
        <f>SUM(E105,E106,E107,E108)</f>
        <v>323432.5</v>
      </c>
      <c r="F104" s="1094">
        <f>E104/D104*100</f>
        <v>80.0575495049505</v>
      </c>
      <c r="H104" s="99"/>
      <c r="I104" s="610"/>
      <c r="J104" s="609"/>
    </row>
    <row r="105" spans="1:10" s="98" customFormat="1" ht="20.25" customHeight="1">
      <c r="A105" s="591" t="s">
        <v>329</v>
      </c>
      <c r="B105" s="584">
        <v>75405</v>
      </c>
      <c r="C105" s="101" t="s">
        <v>1394</v>
      </c>
      <c r="D105" s="1197">
        <f>SUM(9W!D642)</f>
        <v>35000</v>
      </c>
      <c r="E105" s="1197">
        <f>SUM(9W!E642)</f>
        <v>35000</v>
      </c>
      <c r="F105" s="1755">
        <f>E105/D105*100</f>
        <v>100</v>
      </c>
      <c r="G105" s="1756" t="s">
        <v>1607</v>
      </c>
      <c r="H105" s="99"/>
      <c r="I105" s="610"/>
      <c r="J105" s="609"/>
    </row>
    <row r="106" spans="1:10" s="98" customFormat="1" ht="20.25" customHeight="1">
      <c r="A106" s="591" t="s">
        <v>330</v>
      </c>
      <c r="B106" s="584">
        <v>75411</v>
      </c>
      <c r="C106" s="101" t="s">
        <v>366</v>
      </c>
      <c r="D106" s="1197">
        <f>SUM(9W!D654)</f>
        <v>80000</v>
      </c>
      <c r="E106" s="1197">
        <f>SUM(9W!E654)</f>
        <v>0</v>
      </c>
      <c r="F106" s="1755">
        <f>E106/D106*100</f>
        <v>0</v>
      </c>
      <c r="G106" s="1756" t="s">
        <v>1607</v>
      </c>
      <c r="H106" s="99"/>
      <c r="I106" s="610"/>
      <c r="J106" s="609"/>
    </row>
    <row r="107" spans="1:10" s="97" customFormat="1" ht="31.5" customHeight="1">
      <c r="A107" s="591" t="s">
        <v>1558</v>
      </c>
      <c r="B107" s="584">
        <v>85111</v>
      </c>
      <c r="C107" s="101" t="s">
        <v>1191</v>
      </c>
      <c r="D107" s="1197">
        <v>289000</v>
      </c>
      <c r="E107" s="1197">
        <v>288432.5</v>
      </c>
      <c r="F107" s="1755">
        <f>E107/D107*100</f>
        <v>99.80363321799308</v>
      </c>
      <c r="G107" s="1756" t="s">
        <v>1604</v>
      </c>
      <c r="H107" s="99"/>
      <c r="I107" s="610"/>
      <c r="J107" s="583"/>
    </row>
    <row r="108" spans="1:10" s="97" customFormat="1" ht="29.25" customHeight="1" hidden="1" thickBot="1">
      <c r="A108" s="1098" t="s">
        <v>329</v>
      </c>
      <c r="B108" s="1099">
        <v>85117</v>
      </c>
      <c r="C108" s="1128" t="s">
        <v>913</v>
      </c>
      <c r="D108" s="1100">
        <v>0</v>
      </c>
      <c r="E108" s="1100">
        <v>0</v>
      </c>
      <c r="F108" s="1101" t="e">
        <f>E108/D108*100</f>
        <v>#DIV/0!</v>
      </c>
      <c r="G108" s="98" t="s">
        <v>1604</v>
      </c>
      <c r="H108" s="99"/>
      <c r="I108" s="610"/>
      <c r="J108" s="583"/>
    </row>
    <row r="109" spans="1:10" s="98" customFormat="1" ht="18" customHeight="1" thickBot="1">
      <c r="A109" s="2023" t="s">
        <v>740</v>
      </c>
      <c r="B109" s="2024"/>
      <c r="C109" s="2025"/>
      <c r="D109" s="1103">
        <f>SUM(D96,D104)</f>
        <v>4901643</v>
      </c>
      <c r="E109" s="1103">
        <f>SUM(E96,E104)</f>
        <v>3269209.78</v>
      </c>
      <c r="F109" s="1104">
        <f t="shared" si="3"/>
        <v>66.69620329346711</v>
      </c>
      <c r="H109" s="99"/>
      <c r="I109" s="610"/>
      <c r="J109" s="609"/>
    </row>
    <row r="110" spans="1:10" s="118" customFormat="1" ht="21" customHeight="1" thickBot="1">
      <c r="A110" s="1131"/>
      <c r="B110" s="1131"/>
      <c r="C110" s="1131"/>
      <c r="D110" s="1132"/>
      <c r="E110" s="1132"/>
      <c r="F110" s="1133"/>
      <c r="H110" s="1105"/>
      <c r="I110" s="1106"/>
      <c r="J110" s="1134"/>
    </row>
    <row r="111" spans="1:10" s="252" customFormat="1" ht="18" customHeight="1">
      <c r="A111" s="2018" t="s">
        <v>126</v>
      </c>
      <c r="B111" s="2019"/>
      <c r="C111" s="2020"/>
      <c r="D111" s="1291" t="s">
        <v>829</v>
      </c>
      <c r="E111" s="1292" t="s">
        <v>830</v>
      </c>
      <c r="F111" s="1293" t="s">
        <v>213</v>
      </c>
      <c r="G111" s="574"/>
      <c r="H111" s="1089"/>
      <c r="I111" s="1090"/>
      <c r="J111" s="1107"/>
    </row>
    <row r="112" spans="1:10" s="205" customFormat="1" ht="18.75" customHeight="1">
      <c r="A112" s="2033" t="s">
        <v>416</v>
      </c>
      <c r="B112" s="2034"/>
      <c r="C112" s="2035"/>
      <c r="D112" s="1294">
        <f>SUM(D11,D53,D79,D91)</f>
        <v>17289112</v>
      </c>
      <c r="E112" s="1294">
        <f>SUM(E11,E53,E79,E91)</f>
        <v>16249972.19</v>
      </c>
      <c r="F112" s="1295">
        <f>E112/D112*100</f>
        <v>93.9896287906516</v>
      </c>
      <c r="H112" s="99"/>
      <c r="I112" s="610"/>
      <c r="J112" s="1135"/>
    </row>
    <row r="113" spans="1:10" s="205" customFormat="1" ht="18.75" customHeight="1" thickBot="1">
      <c r="A113" s="2027" t="s">
        <v>1606</v>
      </c>
      <c r="B113" s="2028"/>
      <c r="C113" s="2029"/>
      <c r="D113" s="1296">
        <f>SUM(D109)</f>
        <v>4901643</v>
      </c>
      <c r="E113" s="1296">
        <f>SUM(E109)</f>
        <v>3269209.78</v>
      </c>
      <c r="F113" s="1297">
        <f>E113/D113*100</f>
        <v>66.69620329346711</v>
      </c>
      <c r="H113" s="99"/>
      <c r="I113" s="610"/>
      <c r="J113" s="1135"/>
    </row>
    <row r="114" spans="1:10" s="98" customFormat="1" ht="18.75" customHeight="1" thickBot="1" thickTop="1">
      <c r="A114" s="2030" t="s">
        <v>749</v>
      </c>
      <c r="B114" s="2031"/>
      <c r="C114" s="2032"/>
      <c r="D114" s="1298">
        <f>SUM(D112,D113)</f>
        <v>22190755</v>
      </c>
      <c r="E114" s="1298">
        <f>SUM(E112,E113)</f>
        <v>19519181.97</v>
      </c>
      <c r="F114" s="1299">
        <f>E114/D114*100</f>
        <v>87.96087366112599</v>
      </c>
      <c r="H114" s="99"/>
      <c r="I114" s="610"/>
      <c r="J114" s="609"/>
    </row>
    <row r="115" spans="1:10" s="118" customFormat="1" ht="27" customHeight="1">
      <c r="A115" s="2026" t="s">
        <v>140</v>
      </c>
      <c r="B115" s="2026"/>
      <c r="C115" s="2026"/>
      <c r="D115" s="2026"/>
      <c r="E115" s="2026"/>
      <c r="F115" s="2026"/>
      <c r="H115" s="1105"/>
      <c r="I115" s="1106"/>
      <c r="J115" s="1134"/>
    </row>
    <row r="116" spans="1:10" s="97" customFormat="1" ht="12.75" hidden="1">
      <c r="A116" s="100"/>
      <c r="B116" s="100"/>
      <c r="C116" s="604" t="s">
        <v>423</v>
      </c>
      <c r="D116" s="583">
        <v>15644959</v>
      </c>
      <c r="E116" s="583">
        <v>15356001.75</v>
      </c>
      <c r="G116" s="98"/>
      <c r="H116" s="99"/>
      <c r="I116" s="610"/>
      <c r="J116" s="583"/>
    </row>
    <row r="117" spans="1:10" s="97" customFormat="1" ht="12.75" hidden="1">
      <c r="A117" s="100"/>
      <c r="B117" s="100"/>
      <c r="C117" s="604" t="s">
        <v>222</v>
      </c>
      <c r="D117" s="583">
        <v>2801980</v>
      </c>
      <c r="E117" s="583">
        <v>1902826.9</v>
      </c>
      <c r="G117" s="98"/>
      <c r="H117" s="99"/>
      <c r="I117" s="610"/>
      <c r="J117" s="583"/>
    </row>
    <row r="118" spans="1:10" s="97" customFormat="1" ht="22.5" customHeight="1" hidden="1">
      <c r="A118" s="100"/>
      <c r="B118" s="100"/>
      <c r="D118" s="1135">
        <f>SUM(D116:D117)</f>
        <v>18446939</v>
      </c>
      <c r="E118" s="1135">
        <f>SUM(E116:E117)</f>
        <v>17258828.65</v>
      </c>
      <c r="G118" s="98"/>
      <c r="H118" s="99"/>
      <c r="I118" s="610"/>
      <c r="J118" s="583"/>
    </row>
    <row r="119" spans="1:10" s="97" customFormat="1" ht="12.75" hidden="1">
      <c r="A119" s="100"/>
      <c r="B119" s="100"/>
      <c r="C119" s="604" t="s">
        <v>1581</v>
      </c>
      <c r="D119" s="583">
        <f>D116-D112</f>
        <v>-1644153</v>
      </c>
      <c r="E119" s="583">
        <f>E116-E112</f>
        <v>-893970.4399999995</v>
      </c>
      <c r="G119" s="98"/>
      <c r="H119" s="99"/>
      <c r="I119" s="610"/>
      <c r="J119" s="583"/>
    </row>
    <row r="120" spans="1:10" s="97" customFormat="1" ht="12.75" hidden="1">
      <c r="A120" s="100"/>
      <c r="B120" s="100"/>
      <c r="C120" s="604" t="s">
        <v>1597</v>
      </c>
      <c r="D120" s="583">
        <f>D117-D113</f>
        <v>-2099663</v>
      </c>
      <c r="E120" s="583">
        <f>E117-E113</f>
        <v>-1366382.88</v>
      </c>
      <c r="G120" s="98"/>
      <c r="H120" s="99"/>
      <c r="I120" s="610"/>
      <c r="J120" s="583"/>
    </row>
    <row r="121" spans="1:10" s="97" customFormat="1" ht="12.75" hidden="1">
      <c r="A121" s="100"/>
      <c r="B121" s="100"/>
      <c r="G121" s="98"/>
      <c r="H121" s="99"/>
      <c r="I121" s="610"/>
      <c r="J121" s="583"/>
    </row>
    <row r="122" spans="1:10" s="97" customFormat="1" ht="12.75" hidden="1">
      <c r="A122" s="100"/>
      <c r="B122" s="100"/>
      <c r="G122" s="98"/>
      <c r="H122" s="99"/>
      <c r="I122" s="610"/>
      <c r="J122" s="583"/>
    </row>
    <row r="123" spans="1:10" s="97" customFormat="1" ht="12.75" hidden="1">
      <c r="A123" s="100"/>
      <c r="B123" s="100"/>
      <c r="C123" s="604" t="s">
        <v>223</v>
      </c>
      <c r="D123" s="583">
        <f>SUM(D8,D16,D58,D84,D96)</f>
        <v>18848504</v>
      </c>
      <c r="E123" s="583">
        <f>SUM(E8,E16,E58,E84,E96)</f>
        <v>16300800.67</v>
      </c>
      <c r="F123" s="583"/>
      <c r="G123" s="98"/>
      <c r="H123" s="99"/>
      <c r="I123" s="610"/>
      <c r="J123" s="583"/>
    </row>
    <row r="124" spans="1:10" s="97" customFormat="1" ht="12.75" hidden="1">
      <c r="A124" s="100"/>
      <c r="B124" s="100"/>
      <c r="C124" s="604" t="s">
        <v>224</v>
      </c>
      <c r="D124" s="1300">
        <f>SUM(D33,D75,D87,D104)</f>
        <v>3342251</v>
      </c>
      <c r="E124" s="1300">
        <f>SUM(E33,E75,E87,E104)</f>
        <v>3218381.3</v>
      </c>
      <c r="G124" s="98"/>
      <c r="H124" s="99"/>
      <c r="I124" s="610"/>
      <c r="J124" s="583"/>
    </row>
    <row r="125" spans="1:10" s="97" customFormat="1" ht="13.5" hidden="1">
      <c r="A125" s="100"/>
      <c r="B125" s="100"/>
      <c r="D125" s="1135">
        <f>SUM(D123,D124)</f>
        <v>22190755</v>
      </c>
      <c r="E125" s="1135">
        <f>SUM(E123,E124)</f>
        <v>19519181.97</v>
      </c>
      <c r="G125" s="98"/>
      <c r="H125" s="99"/>
      <c r="I125" s="610"/>
      <c r="J125" s="583"/>
    </row>
    <row r="126" spans="1:10" s="97" customFormat="1" ht="12.75" hidden="1">
      <c r="A126" s="100"/>
      <c r="B126" s="100"/>
      <c r="G126" s="98"/>
      <c r="H126" s="99"/>
      <c r="I126" s="610"/>
      <c r="J126" s="583"/>
    </row>
    <row r="127" spans="3:5" ht="12.75" hidden="1">
      <c r="C127" s="362" t="s">
        <v>1147</v>
      </c>
      <c r="D127" s="361"/>
      <c r="E127" s="361"/>
    </row>
    <row r="128" spans="3:5" ht="12.75" hidden="1">
      <c r="C128" s="362" t="s">
        <v>228</v>
      </c>
      <c r="D128" s="361"/>
      <c r="E128" s="361"/>
    </row>
    <row r="129" spans="3:8" ht="12.75" hidden="1">
      <c r="C129" s="362" t="s">
        <v>225</v>
      </c>
      <c r="D129" s="361"/>
      <c r="E129" s="361"/>
      <c r="F129" s="357" t="s">
        <v>227</v>
      </c>
      <c r="H129" s="373"/>
    </row>
    <row r="130" spans="3:5" ht="12.75" hidden="1">
      <c r="C130" s="362" t="s">
        <v>226</v>
      </c>
      <c r="D130" s="361"/>
      <c r="E130" s="361"/>
    </row>
    <row r="131" ht="12.75" hidden="1"/>
    <row r="132" ht="12.75" hidden="1"/>
    <row r="133" ht="12.75" hidden="1"/>
    <row r="134" ht="12.75" hidden="1"/>
  </sheetData>
  <sheetProtection password="CF53" sheet="1" formatRows="0" insertColumns="0" insertRows="0" insertHyperlinks="0" deleteColumns="0" deleteRows="0" sort="0" autoFilter="0" pivotTables="0"/>
  <mergeCells count="30">
    <mergeCell ref="A109:C109"/>
    <mergeCell ref="E1:F1"/>
    <mergeCell ref="A53:C53"/>
    <mergeCell ref="A16:C16"/>
    <mergeCell ref="A33:C33"/>
    <mergeCell ref="A8:C8"/>
    <mergeCell ref="A11:C11"/>
    <mergeCell ref="A3:F3"/>
    <mergeCell ref="A5:E5"/>
    <mergeCell ref="A13:F13"/>
    <mergeCell ref="A55:F55"/>
    <mergeCell ref="A115:F115"/>
    <mergeCell ref="A79:C79"/>
    <mergeCell ref="A104:C104"/>
    <mergeCell ref="A113:C113"/>
    <mergeCell ref="A114:C114"/>
    <mergeCell ref="A112:C112"/>
    <mergeCell ref="A84:C84"/>
    <mergeCell ref="A96:C96"/>
    <mergeCell ref="A81:F81"/>
    <mergeCell ref="H6:I6"/>
    <mergeCell ref="A58:C58"/>
    <mergeCell ref="A75:C75"/>
    <mergeCell ref="H19:H20"/>
    <mergeCell ref="G19:G20"/>
    <mergeCell ref="A111:C111"/>
    <mergeCell ref="A87:C87"/>
    <mergeCell ref="A93:F93"/>
    <mergeCell ref="I19:I20"/>
    <mergeCell ref="A91:C91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8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Q180"/>
  <sheetViews>
    <sheetView view="pageBreakPreview" zoomScaleSheetLayoutView="100" zoomScalePageLayoutView="0" workbookViewId="0" topLeftCell="A1">
      <selection activeCell="D73" sqref="D73"/>
    </sheetView>
  </sheetViews>
  <sheetFormatPr defaultColWidth="9.00390625" defaultRowHeight="12.75"/>
  <cols>
    <col min="1" max="1" width="4.75390625" style="497" customWidth="1"/>
    <col min="2" max="2" width="7.125" style="497" customWidth="1"/>
    <col min="3" max="3" width="23.00390625" style="498" customWidth="1"/>
    <col min="4" max="4" width="12.125" style="367" customWidth="1"/>
    <col min="5" max="5" width="12.25390625" style="367" customWidth="1"/>
    <col min="6" max="6" width="5.125" style="367" customWidth="1"/>
    <col min="7" max="7" width="12.125" style="499" customWidth="1"/>
    <col min="8" max="8" width="12.625" style="367" customWidth="1"/>
    <col min="9" max="9" width="5.625" style="499" customWidth="1"/>
    <col min="10" max="10" width="10.25390625" style="499" hidden="1" customWidth="1"/>
    <col min="11" max="11" width="15.875" style="499" hidden="1" customWidth="1"/>
    <col min="12" max="12" width="15.25390625" style="367" hidden="1" customWidth="1"/>
    <col min="13" max="13" width="12.25390625" style="367" hidden="1" customWidth="1"/>
    <col min="14" max="14" width="17.25390625" style="367" hidden="1" customWidth="1"/>
    <col min="15" max="15" width="19.875" style="1244" hidden="1" customWidth="1"/>
    <col min="16" max="16384" width="9.125" style="367" customWidth="1"/>
  </cols>
  <sheetData>
    <row r="1" spans="1:15" s="125" customFormat="1" ht="22.5" customHeight="1">
      <c r="A1" s="1224"/>
      <c r="B1" s="1224"/>
      <c r="C1" s="153"/>
      <c r="G1" s="1225"/>
      <c r="H1" s="1963" t="s">
        <v>1434</v>
      </c>
      <c r="I1" s="1963"/>
      <c r="J1" s="98"/>
      <c r="K1" s="1225"/>
      <c r="O1" s="1244"/>
    </row>
    <row r="2" spans="1:15" s="125" customFormat="1" ht="18.75" customHeight="1">
      <c r="A2" s="2046" t="s">
        <v>79</v>
      </c>
      <c r="B2" s="2046"/>
      <c r="C2" s="2046"/>
      <c r="D2" s="2046"/>
      <c r="E2" s="2046"/>
      <c r="F2" s="2046"/>
      <c r="G2" s="2046"/>
      <c r="H2" s="2046"/>
      <c r="I2" s="2046"/>
      <c r="J2" s="1225"/>
      <c r="K2" s="1225"/>
      <c r="O2" s="1244"/>
    </row>
    <row r="3" spans="1:15" s="125" customFormat="1" ht="12.75" customHeight="1" thickBot="1">
      <c r="A3" s="1224"/>
      <c r="B3" s="1224"/>
      <c r="C3" s="153"/>
      <c r="G3" s="1225"/>
      <c r="H3" s="2052" t="s">
        <v>208</v>
      </c>
      <c r="I3" s="2052"/>
      <c r="J3" s="1225"/>
      <c r="K3" s="1225"/>
      <c r="O3" s="1244"/>
    </row>
    <row r="4" spans="1:15" s="118" customFormat="1" ht="20.25" customHeight="1">
      <c r="A4" s="2056" t="s">
        <v>125</v>
      </c>
      <c r="B4" s="2058" t="s">
        <v>209</v>
      </c>
      <c r="C4" s="2044" t="s">
        <v>126</v>
      </c>
      <c r="D4" s="2053" t="s">
        <v>432</v>
      </c>
      <c r="E4" s="2054"/>
      <c r="F4" s="2054"/>
      <c r="G4" s="2053" t="s">
        <v>433</v>
      </c>
      <c r="H4" s="2054"/>
      <c r="I4" s="2055"/>
      <c r="J4" s="1105"/>
      <c r="K4" s="1105"/>
      <c r="L4" s="117">
        <v>1</v>
      </c>
      <c r="M4" s="117">
        <v>2</v>
      </c>
      <c r="O4" s="1245"/>
    </row>
    <row r="5" spans="1:15" s="117" customFormat="1" ht="18.75" customHeight="1">
      <c r="A5" s="2057"/>
      <c r="B5" s="2059"/>
      <c r="C5" s="2045"/>
      <c r="D5" s="818" t="s">
        <v>211</v>
      </c>
      <c r="E5" s="818" t="s">
        <v>212</v>
      </c>
      <c r="F5" s="818" t="s">
        <v>213</v>
      </c>
      <c r="G5" s="818" t="s">
        <v>1213</v>
      </c>
      <c r="H5" s="818" t="s">
        <v>1214</v>
      </c>
      <c r="I5" s="873" t="s">
        <v>213</v>
      </c>
      <c r="J5" s="2048" t="s">
        <v>1154</v>
      </c>
      <c r="K5" s="2047" t="s">
        <v>230</v>
      </c>
      <c r="L5" s="117" t="s">
        <v>1149</v>
      </c>
      <c r="M5" s="117" t="s">
        <v>1150</v>
      </c>
      <c r="N5" s="117" t="s">
        <v>1152</v>
      </c>
      <c r="O5" s="1245"/>
    </row>
    <row r="6" spans="1:15" s="1229" customFormat="1" ht="13.5" thickBot="1">
      <c r="A6" s="1226">
        <v>1</v>
      </c>
      <c r="B6" s="1227">
        <v>2</v>
      </c>
      <c r="C6" s="1228">
        <v>3</v>
      </c>
      <c r="D6" s="572">
        <v>4</v>
      </c>
      <c r="E6" s="572">
        <v>5</v>
      </c>
      <c r="F6" s="572">
        <v>6</v>
      </c>
      <c r="G6" s="572">
        <v>7</v>
      </c>
      <c r="H6" s="572">
        <v>8</v>
      </c>
      <c r="I6" s="573">
        <v>9</v>
      </c>
      <c r="J6" s="2048"/>
      <c r="K6" s="2047"/>
      <c r="L6" s="1229" t="s">
        <v>128</v>
      </c>
      <c r="M6" s="1229" t="s">
        <v>1151</v>
      </c>
      <c r="N6" s="1229" t="s">
        <v>1153</v>
      </c>
      <c r="O6" s="1245"/>
    </row>
    <row r="7" spans="1:15" s="117" customFormat="1" ht="27.75" customHeight="1">
      <c r="A7" s="1246" t="s">
        <v>214</v>
      </c>
      <c r="B7" s="1247"/>
      <c r="C7" s="1248" t="s">
        <v>1696</v>
      </c>
      <c r="D7" s="1249">
        <f>SUM(D8)</f>
        <v>37123.57</v>
      </c>
      <c r="E7" s="1249">
        <f>SUM(E8)</f>
        <v>37123.57</v>
      </c>
      <c r="F7" s="1250">
        <f aca="true" t="shared" si="0" ref="F7:F61">E7/D7*100</f>
        <v>100</v>
      </c>
      <c r="G7" s="1251">
        <f>SUM(G8)</f>
        <v>37123.57</v>
      </c>
      <c r="H7" s="1251">
        <f>SUM(H8)</f>
        <v>37123.57</v>
      </c>
      <c r="I7" s="1252">
        <f aca="true" t="shared" si="1" ref="I7:I12">H7/G7*100</f>
        <v>100</v>
      </c>
      <c r="J7" s="1105"/>
      <c r="K7" s="1106">
        <f>SUM(H8)</f>
        <v>37123.57</v>
      </c>
      <c r="L7" s="1253"/>
      <c r="O7" s="1245" t="s">
        <v>1227</v>
      </c>
    </row>
    <row r="8" spans="1:15" s="1239" customFormat="1" ht="19.5" customHeight="1">
      <c r="A8" s="1231"/>
      <c r="B8" s="1232" t="s">
        <v>1701</v>
      </c>
      <c r="C8" s="1243" t="s">
        <v>215</v>
      </c>
      <c r="D8" s="1233">
        <f>SUM(6DOCHODY!E10)</f>
        <v>37123.57</v>
      </c>
      <c r="E8" s="1233">
        <f>SUM(6DOCHODY!F10)</f>
        <v>37123.57</v>
      </c>
      <c r="F8" s="1234">
        <f t="shared" si="0"/>
        <v>100</v>
      </c>
      <c r="G8" s="1117">
        <f>D8</f>
        <v>37123.57</v>
      </c>
      <c r="H8" s="1117">
        <f>SUM('12DiW zlecone'!D13)</f>
        <v>37123.57</v>
      </c>
      <c r="I8" s="1235">
        <f t="shared" si="1"/>
        <v>100</v>
      </c>
      <c r="J8" s="1236">
        <f>G8-H8</f>
        <v>0</v>
      </c>
      <c r="K8" s="1254"/>
      <c r="L8" s="1253"/>
      <c r="O8" s="1244" t="s">
        <v>411</v>
      </c>
    </row>
    <row r="9" spans="1:15" s="1229" customFormat="1" ht="20.25" customHeight="1">
      <c r="A9" s="1246" t="s">
        <v>310</v>
      </c>
      <c r="B9" s="1247"/>
      <c r="C9" s="1248" t="s">
        <v>311</v>
      </c>
      <c r="D9" s="1249">
        <f>SUM(D10,D11)</f>
        <v>129025</v>
      </c>
      <c r="E9" s="1249">
        <f>SUM(E10,E11)</f>
        <v>127574.54</v>
      </c>
      <c r="F9" s="1250">
        <f t="shared" si="0"/>
        <v>98.87583026545242</v>
      </c>
      <c r="G9" s="1186">
        <f>SUM(G10,G11)</f>
        <v>129025</v>
      </c>
      <c r="H9" s="1186">
        <f>SUM(H10,H11)</f>
        <v>127574.54</v>
      </c>
      <c r="I9" s="1252">
        <f t="shared" si="1"/>
        <v>98.87583026545242</v>
      </c>
      <c r="J9" s="1236"/>
      <c r="K9" s="1255"/>
      <c r="L9" s="1253"/>
      <c r="O9" s="1245" t="s">
        <v>1227</v>
      </c>
    </row>
    <row r="10" spans="1:15" s="1239" customFormat="1" ht="51.75" customHeight="1">
      <c r="A10" s="1231"/>
      <c r="B10" s="1232" t="s">
        <v>312</v>
      </c>
      <c r="C10" s="1243" t="s">
        <v>27</v>
      </c>
      <c r="D10" s="1233">
        <f>SUM(6DOCHODY!E464,6DOCHODY!E466)</f>
        <v>129025</v>
      </c>
      <c r="E10" s="1233">
        <f>SUM(6DOCHODY!F464,6DOCHODY!F466)</f>
        <v>127574.54</v>
      </c>
      <c r="F10" s="1234">
        <f t="shared" si="0"/>
        <v>98.87583026545242</v>
      </c>
      <c r="G10" s="1122">
        <f>D10</f>
        <v>129025</v>
      </c>
      <c r="H10" s="1122">
        <v>127574.54</v>
      </c>
      <c r="I10" s="1252">
        <f t="shared" si="1"/>
        <v>98.87583026545242</v>
      </c>
      <c r="J10" s="1236">
        <f>G10-H10</f>
        <v>1450.4600000000064</v>
      </c>
      <c r="K10" s="1237"/>
      <c r="L10" s="1238"/>
      <c r="O10" s="1244"/>
    </row>
    <row r="11" spans="1:15" s="1239" customFormat="1" ht="25.5" customHeight="1" hidden="1">
      <c r="A11" s="1231"/>
      <c r="B11" s="1232" t="s">
        <v>313</v>
      </c>
      <c r="C11" s="1230" t="s">
        <v>314</v>
      </c>
      <c r="D11" s="1233">
        <f>6DOCHODY!E40</f>
        <v>0</v>
      </c>
      <c r="E11" s="1233">
        <f>6DOCHODY!F40</f>
        <v>0</v>
      </c>
      <c r="F11" s="1234" t="e">
        <f t="shared" si="0"/>
        <v>#DIV/0!</v>
      </c>
      <c r="G11" s="1122">
        <f>D11</f>
        <v>0</v>
      </c>
      <c r="H11" s="1122"/>
      <c r="I11" s="1285" t="e">
        <f t="shared" si="1"/>
        <v>#DIV/0!</v>
      </c>
      <c r="J11" s="1236"/>
      <c r="K11" s="1237"/>
      <c r="L11" s="1238"/>
      <c r="O11" s="1244" t="s">
        <v>409</v>
      </c>
    </row>
    <row r="12" spans="1:15" s="1229" customFormat="1" ht="30.75" customHeight="1">
      <c r="A12" s="1246" t="s">
        <v>317</v>
      </c>
      <c r="B12" s="1247"/>
      <c r="C12" s="1248" t="s">
        <v>257</v>
      </c>
      <c r="D12" s="1249">
        <f>SUM(D13,D14)</f>
        <v>263713</v>
      </c>
      <c r="E12" s="1249">
        <f>SUM(E13,E14)</f>
        <v>238056.56</v>
      </c>
      <c r="F12" s="1250">
        <f t="shared" si="0"/>
        <v>90.2710749944068</v>
      </c>
      <c r="G12" s="1186">
        <f>SUM(G13,G14)</f>
        <v>263713</v>
      </c>
      <c r="H12" s="1186">
        <f>SUM(H13,H14)</f>
        <v>238056.56</v>
      </c>
      <c r="I12" s="1252">
        <f t="shared" si="1"/>
        <v>90.2710749944068</v>
      </c>
      <c r="J12" s="1236"/>
      <c r="K12" s="1277">
        <f>SUM(H12)</f>
        <v>238056.56</v>
      </c>
      <c r="L12" s="1253"/>
      <c r="O12" s="1245" t="s">
        <v>1227</v>
      </c>
    </row>
    <row r="13" spans="1:15" s="125" customFormat="1" ht="29.25" customHeight="1">
      <c r="A13" s="1231"/>
      <c r="B13" s="1257" t="s">
        <v>258</v>
      </c>
      <c r="C13" s="1265" t="s">
        <v>259</v>
      </c>
      <c r="D13" s="1256">
        <f>SUM(6DOCHODY!E87,6DOCHODY!E469,6DOCHODY!E470)</f>
        <v>263713</v>
      </c>
      <c r="E13" s="1256">
        <f>SUM(6DOCHODY!F87,6DOCHODY!F469,6DOCHODY!F470)</f>
        <v>238056.56</v>
      </c>
      <c r="F13" s="1234">
        <f t="shared" si="0"/>
        <v>90.2710749944068</v>
      </c>
      <c r="G13" s="1122">
        <f>D13</f>
        <v>263713</v>
      </c>
      <c r="H13" s="1122">
        <f>SUM('12DiW zlecone'!D43)+'13DiW porozumienia'!D13</f>
        <v>238056.56</v>
      </c>
      <c r="I13" s="1259">
        <f aca="true" t="shared" si="2" ref="I13:I49">H13/G13*100</f>
        <v>90.2710749944068</v>
      </c>
      <c r="J13" s="1236">
        <f aca="true" t="shared" si="3" ref="J13:J64">G13-H13</f>
        <v>25656.440000000002</v>
      </c>
      <c r="K13" s="1225"/>
      <c r="L13" s="1084"/>
      <c r="O13" s="1244" t="s">
        <v>267</v>
      </c>
    </row>
    <row r="14" spans="1:15" s="125" customFormat="1" ht="29.25" customHeight="1" hidden="1">
      <c r="A14" s="1231"/>
      <c r="B14" s="1257" t="s">
        <v>1720</v>
      </c>
      <c r="C14" s="1278" t="s">
        <v>215</v>
      </c>
      <c r="D14" s="1256">
        <f>SUM(6DOCHODY!E91)</f>
        <v>0</v>
      </c>
      <c r="E14" s="1256">
        <f>SUM(6DOCHODY!F91)</f>
        <v>0</v>
      </c>
      <c r="F14" s="1234" t="e">
        <f t="shared" si="0"/>
        <v>#DIV/0!</v>
      </c>
      <c r="G14" s="1122">
        <f>D14</f>
        <v>0</v>
      </c>
      <c r="H14" s="1122">
        <f>'13DiW porozumienia'!D15</f>
        <v>0</v>
      </c>
      <c r="I14" s="1259" t="e">
        <f t="shared" si="2"/>
        <v>#DIV/0!</v>
      </c>
      <c r="J14" s="1236"/>
      <c r="K14" s="1225"/>
      <c r="L14" s="1084"/>
      <c r="M14" s="125">
        <v>0</v>
      </c>
      <c r="O14" s="1244" t="s">
        <v>268</v>
      </c>
    </row>
    <row r="15" spans="1:15" s="118" customFormat="1" ht="23.25" customHeight="1">
      <c r="A15" s="1246" t="s">
        <v>260</v>
      </c>
      <c r="B15" s="1260"/>
      <c r="C15" s="1261" t="s">
        <v>261</v>
      </c>
      <c r="D15" s="1262">
        <f>SUM(D16,D17,D18,D19)</f>
        <v>478000</v>
      </c>
      <c r="E15" s="1262">
        <f>SUM(E16,E17,E18,E19)</f>
        <v>477995.95</v>
      </c>
      <c r="F15" s="1250">
        <f t="shared" si="0"/>
        <v>99.99915271966528</v>
      </c>
      <c r="G15" s="1186">
        <f>SUM(G16,G17,G18,G19)</f>
        <v>478000</v>
      </c>
      <c r="H15" s="1186">
        <f>SUM(H16,H17,H18,H19)</f>
        <v>477995.95</v>
      </c>
      <c r="I15" s="1263">
        <f t="shared" si="2"/>
        <v>99.99915271966528</v>
      </c>
      <c r="J15" s="1236"/>
      <c r="K15" s="1106">
        <f>SUM(H15)</f>
        <v>477995.95</v>
      </c>
      <c r="L15" s="1134"/>
      <c r="O15" s="1245" t="s">
        <v>1227</v>
      </c>
    </row>
    <row r="16" spans="1:15" s="125" customFormat="1" ht="39" customHeight="1">
      <c r="A16" s="1231"/>
      <c r="B16" s="1257" t="s">
        <v>262</v>
      </c>
      <c r="C16" s="1265" t="s">
        <v>1089</v>
      </c>
      <c r="D16" s="1256">
        <f>SUM(6DOCHODY!E473)</f>
        <v>102000</v>
      </c>
      <c r="E16" s="1256">
        <f>SUM(6DOCHODY!F473)</f>
        <v>102000</v>
      </c>
      <c r="F16" s="1234">
        <f t="shared" si="0"/>
        <v>100</v>
      </c>
      <c r="G16" s="1122">
        <f>D16</f>
        <v>102000</v>
      </c>
      <c r="H16" s="1122">
        <f>SUM('12DiW zlecone'!D45)</f>
        <v>102000</v>
      </c>
      <c r="I16" s="1259">
        <f t="shared" si="2"/>
        <v>100</v>
      </c>
      <c r="J16" s="1236">
        <f t="shared" si="3"/>
        <v>0</v>
      </c>
      <c r="K16" s="1225"/>
      <c r="L16" s="1084"/>
      <c r="O16" s="1244" t="s">
        <v>267</v>
      </c>
    </row>
    <row r="17" spans="1:15" s="125" customFormat="1" ht="30" customHeight="1" hidden="1">
      <c r="A17" s="1231"/>
      <c r="B17" s="1257" t="s">
        <v>263</v>
      </c>
      <c r="C17" s="1265" t="s">
        <v>264</v>
      </c>
      <c r="D17" s="1256">
        <f>SUM(6DOCHODY!E479)</f>
        <v>0</v>
      </c>
      <c r="E17" s="1256">
        <f>SUM(6DOCHODY!F479)</f>
        <v>0</v>
      </c>
      <c r="F17" s="1234" t="e">
        <f t="shared" si="0"/>
        <v>#DIV/0!</v>
      </c>
      <c r="G17" s="1122">
        <f>D17</f>
        <v>0</v>
      </c>
      <c r="H17" s="1122">
        <f>SUM('12DiW zlecone'!D47)</f>
        <v>0</v>
      </c>
      <c r="I17" s="1259" t="e">
        <f t="shared" si="2"/>
        <v>#DIV/0!</v>
      </c>
      <c r="J17" s="1236">
        <f t="shared" si="3"/>
        <v>0</v>
      </c>
      <c r="K17" s="1225"/>
      <c r="L17" s="1084"/>
      <c r="O17" s="1244" t="s">
        <v>267</v>
      </c>
    </row>
    <row r="18" spans="1:15" s="125" customFormat="1" ht="19.5" customHeight="1">
      <c r="A18" s="1231"/>
      <c r="B18" s="1257" t="s">
        <v>265</v>
      </c>
      <c r="C18" s="1258" t="s">
        <v>255</v>
      </c>
      <c r="D18" s="1256">
        <f>SUM(6DOCHODY!E482,6DOCHODY!E483)</f>
        <v>376000</v>
      </c>
      <c r="E18" s="1256">
        <f>SUM(6DOCHODY!F482,6DOCHODY!F483)</f>
        <v>375995.95</v>
      </c>
      <c r="F18" s="1234">
        <f t="shared" si="0"/>
        <v>99.99892287234043</v>
      </c>
      <c r="G18" s="1122">
        <f>D18</f>
        <v>376000</v>
      </c>
      <c r="H18" s="1122">
        <f>SUM('12DiW zlecone'!D49)</f>
        <v>375995.95</v>
      </c>
      <c r="I18" s="1259">
        <f t="shared" si="2"/>
        <v>99.99892287234043</v>
      </c>
      <c r="J18" s="1236">
        <f t="shared" si="3"/>
        <v>4.0499999999883585</v>
      </c>
      <c r="K18" s="1225"/>
      <c r="L18" s="1084"/>
      <c r="O18" s="1244" t="s">
        <v>267</v>
      </c>
    </row>
    <row r="19" spans="1:12" ht="19.5" customHeight="1" hidden="1">
      <c r="A19" s="501"/>
      <c r="B19" s="508" t="s">
        <v>960</v>
      </c>
      <c r="C19" s="515" t="s">
        <v>215</v>
      </c>
      <c r="D19" s="510">
        <f>SUM(6DOCHODY!E485)</f>
        <v>0</v>
      </c>
      <c r="E19" s="510">
        <f>SUM(6DOCHODY!F485)</f>
        <v>0</v>
      </c>
      <c r="F19" s="504" t="e">
        <f t="shared" si="0"/>
        <v>#DIV/0!</v>
      </c>
      <c r="G19" s="487">
        <f>D19</f>
        <v>0</v>
      </c>
      <c r="H19" s="487">
        <f>'12DiW zlecone'!D51</f>
        <v>0</v>
      </c>
      <c r="I19" s="511" t="e">
        <f t="shared" si="2"/>
        <v>#DIV/0!</v>
      </c>
      <c r="J19" s="506"/>
      <c r="L19" s="477"/>
    </row>
    <row r="20" spans="1:15" s="118" customFormat="1" ht="24.75" customHeight="1">
      <c r="A20" s="1246" t="s">
        <v>941</v>
      </c>
      <c r="B20" s="1260"/>
      <c r="C20" s="1261" t="s">
        <v>942</v>
      </c>
      <c r="D20" s="1262">
        <f>SUM(D21,D22,D23)</f>
        <v>466440</v>
      </c>
      <c r="E20" s="1262">
        <f>SUM(E21,E22,E23)</f>
        <v>466437.67</v>
      </c>
      <c r="F20" s="1250">
        <f t="shared" si="0"/>
        <v>99.99950047165765</v>
      </c>
      <c r="G20" s="1186">
        <f>SUM(G21,G22,G23)</f>
        <v>466440</v>
      </c>
      <c r="H20" s="1186">
        <f>SUM(H21,H22,H23)</f>
        <v>466437.67</v>
      </c>
      <c r="I20" s="1263">
        <f t="shared" si="2"/>
        <v>99.99950047165765</v>
      </c>
      <c r="J20" s="1236"/>
      <c r="K20" s="1106">
        <f>SUM(H21:H23)</f>
        <v>466437.67</v>
      </c>
      <c r="L20" s="1134"/>
      <c r="O20" s="1245" t="s">
        <v>1227</v>
      </c>
    </row>
    <row r="21" spans="1:15" s="125" customFormat="1" ht="21" customHeight="1">
      <c r="A21" s="1231"/>
      <c r="B21" s="1257" t="s">
        <v>943</v>
      </c>
      <c r="C21" s="1258" t="s">
        <v>949</v>
      </c>
      <c r="D21" s="1256">
        <f>SUM(6DOCHODY!E106,6DOCHODY!E488)</f>
        <v>447100</v>
      </c>
      <c r="E21" s="1256">
        <f>SUM(6DOCHODY!F106,6DOCHODY!F488)</f>
        <v>447098.86</v>
      </c>
      <c r="F21" s="1234">
        <f t="shared" si="0"/>
        <v>99.99974502348468</v>
      </c>
      <c r="G21" s="1122">
        <f>D21</f>
        <v>447100</v>
      </c>
      <c r="H21" s="1122">
        <f>SUM('12DiW zlecone'!D15,'12DiW zlecone'!D53)</f>
        <v>447098.86</v>
      </c>
      <c r="I21" s="1259">
        <f t="shared" si="2"/>
        <v>99.99974502348468</v>
      </c>
      <c r="J21" s="1236">
        <f t="shared" si="3"/>
        <v>1.1400000000139698</v>
      </c>
      <c r="K21" s="1225"/>
      <c r="L21" s="1084"/>
      <c r="M21" s="125">
        <f>199651.45+45116</f>
        <v>244767.45</v>
      </c>
      <c r="N21" s="1084">
        <f>L21+M21</f>
        <v>244767.45</v>
      </c>
      <c r="O21" s="1244" t="s">
        <v>412</v>
      </c>
    </row>
    <row r="22" spans="1:15" s="125" customFormat="1" ht="21" customHeight="1">
      <c r="A22" s="1231"/>
      <c r="B22" s="1257" t="s">
        <v>2</v>
      </c>
      <c r="C22" s="1258" t="s">
        <v>1754</v>
      </c>
      <c r="D22" s="1256">
        <f>SUM(6DOCHODY!E496,6DOCHODY!E497)</f>
        <v>19340</v>
      </c>
      <c r="E22" s="1256">
        <f>SUM(6DOCHODY!F496,6DOCHODY!F497)</f>
        <v>19338.81</v>
      </c>
      <c r="F22" s="1234">
        <f t="shared" si="0"/>
        <v>99.99384694932783</v>
      </c>
      <c r="G22" s="1122">
        <f>D22</f>
        <v>19340</v>
      </c>
      <c r="H22" s="1122">
        <f>SUM('12DiW zlecone'!D55)+'13DiW porozumienia'!D25</f>
        <v>19338.809999999998</v>
      </c>
      <c r="I22" s="1259">
        <f t="shared" si="2"/>
        <v>99.9938469493278</v>
      </c>
      <c r="J22" s="1236">
        <f t="shared" si="3"/>
        <v>1.1900000000023283</v>
      </c>
      <c r="K22" s="1225"/>
      <c r="L22" s="1084"/>
      <c r="M22" s="125">
        <f>18566.73+550</f>
        <v>19116.73</v>
      </c>
      <c r="N22" s="1084">
        <f>L22+M22</f>
        <v>19116.73</v>
      </c>
      <c r="O22" s="1244" t="s">
        <v>413</v>
      </c>
    </row>
    <row r="23" spans="1:12" ht="21" customHeight="1" hidden="1">
      <c r="A23" s="501"/>
      <c r="B23" s="508" t="s">
        <v>296</v>
      </c>
      <c r="C23" s="417" t="s">
        <v>297</v>
      </c>
      <c r="D23" s="510">
        <f>6DOCHODY!E117</f>
        <v>0</v>
      </c>
      <c r="E23" s="510">
        <f>6DOCHODY!F117</f>
        <v>0</v>
      </c>
      <c r="F23" s="504" t="e">
        <f t="shared" si="0"/>
        <v>#DIV/0!</v>
      </c>
      <c r="G23" s="487">
        <f>D23</f>
        <v>0</v>
      </c>
      <c r="H23" s="487">
        <f>SUM('12DiW zlecone'!D17)</f>
        <v>0</v>
      </c>
      <c r="I23" s="511" t="e">
        <f t="shared" si="2"/>
        <v>#DIV/0!</v>
      </c>
      <c r="J23" s="506"/>
      <c r="L23" s="477"/>
    </row>
    <row r="24" spans="1:15" s="118" customFormat="1" ht="63" customHeight="1">
      <c r="A24" s="1246" t="s">
        <v>1215</v>
      </c>
      <c r="B24" s="1260"/>
      <c r="C24" s="1261" t="s">
        <v>4</v>
      </c>
      <c r="D24" s="1262">
        <f>SUM(D25,D26,D27)</f>
        <v>7164</v>
      </c>
      <c r="E24" s="1262">
        <f>SUM(E25,E26,E27)</f>
        <v>7162.7</v>
      </c>
      <c r="F24" s="1250">
        <f t="shared" si="0"/>
        <v>99.9818537130095</v>
      </c>
      <c r="G24" s="1186">
        <f>SUM(G25,G26,G27)</f>
        <v>7164</v>
      </c>
      <c r="H24" s="1186">
        <f>SUM(H25,H26,H27)</f>
        <v>7162.7</v>
      </c>
      <c r="I24" s="1263">
        <f t="shared" si="2"/>
        <v>99.9818537130095</v>
      </c>
      <c r="J24" s="1236"/>
      <c r="K24" s="1106">
        <f>SUM(H24)</f>
        <v>7162.7</v>
      </c>
      <c r="L24" s="1134"/>
      <c r="O24" s="1245" t="s">
        <v>1227</v>
      </c>
    </row>
    <row r="25" spans="1:15" s="125" customFormat="1" ht="44.25" customHeight="1">
      <c r="A25" s="1242"/>
      <c r="B25" s="1264" t="s">
        <v>1167</v>
      </c>
      <c r="C25" s="1265" t="s">
        <v>1168</v>
      </c>
      <c r="D25" s="1256">
        <f>SUM(6DOCHODY!E138)</f>
        <v>7164</v>
      </c>
      <c r="E25" s="1256">
        <f>SUM(6DOCHODY!F138)</f>
        <v>7162.7</v>
      </c>
      <c r="F25" s="1234">
        <f t="shared" si="0"/>
        <v>99.9818537130095</v>
      </c>
      <c r="G25" s="1122">
        <f>D25</f>
        <v>7164</v>
      </c>
      <c r="H25" s="1122">
        <f>SUM('12DiW zlecone'!D19)</f>
        <v>7162.7</v>
      </c>
      <c r="I25" s="1259">
        <f t="shared" si="2"/>
        <v>99.9818537130095</v>
      </c>
      <c r="J25" s="1236">
        <f t="shared" si="3"/>
        <v>1.300000000000182</v>
      </c>
      <c r="K25" s="1225"/>
      <c r="L25" s="1084"/>
      <c r="O25" s="1244" t="s">
        <v>411</v>
      </c>
    </row>
    <row r="26" spans="1:12" ht="31.5" customHeight="1" hidden="1">
      <c r="A26" s="516"/>
      <c r="B26" s="517" t="s">
        <v>1649</v>
      </c>
      <c r="C26" s="518" t="s">
        <v>1650</v>
      </c>
      <c r="D26" s="510">
        <f>6DOCHODY!E140</f>
        <v>0</v>
      </c>
      <c r="E26" s="510">
        <f>6DOCHODY!F140</f>
        <v>0</v>
      </c>
      <c r="F26" s="519" t="e">
        <f>E26/D26*100</f>
        <v>#DIV/0!</v>
      </c>
      <c r="G26" s="487">
        <f>D26</f>
        <v>0</v>
      </c>
      <c r="H26" s="487"/>
      <c r="I26" s="511" t="e">
        <f>H26/G26*100</f>
        <v>#DIV/0!</v>
      </c>
      <c r="J26" s="506">
        <f>G26-H26</f>
        <v>0</v>
      </c>
      <c r="L26" s="477"/>
    </row>
    <row r="27" spans="1:12" ht="89.25" customHeight="1" hidden="1">
      <c r="A27" s="516"/>
      <c r="B27" s="520" t="s">
        <v>298</v>
      </c>
      <c r="C27" s="417" t="s">
        <v>299</v>
      </c>
      <c r="D27" s="503">
        <f>6DOCHODY!E142</f>
        <v>0</v>
      </c>
      <c r="E27" s="503">
        <f>6DOCHODY!F142</f>
        <v>0</v>
      </c>
      <c r="F27" s="519" t="e">
        <f>E27/D27*100</f>
        <v>#DIV/0!</v>
      </c>
      <c r="G27" s="487">
        <f>D27</f>
        <v>0</v>
      </c>
      <c r="H27" s="491">
        <v>0</v>
      </c>
      <c r="I27" s="511" t="e">
        <f>H27/G27*100</f>
        <v>#DIV/0!</v>
      </c>
      <c r="J27" s="506"/>
      <c r="L27" s="477"/>
    </row>
    <row r="28" spans="1:15" s="118" customFormat="1" ht="42" customHeight="1">
      <c r="A28" s="1271" t="s">
        <v>5</v>
      </c>
      <c r="B28" s="1274"/>
      <c r="C28" s="1261" t="s">
        <v>86</v>
      </c>
      <c r="D28" s="1262">
        <f>SUM(D29,D30,D31)</f>
        <v>4312754</v>
      </c>
      <c r="E28" s="1262">
        <f>SUM(E29,E30,E31)</f>
        <v>4306132.02</v>
      </c>
      <c r="F28" s="1250">
        <f t="shared" si="0"/>
        <v>99.8464558841056</v>
      </c>
      <c r="G28" s="1186">
        <f>SUM(G29,G30,G31)</f>
        <v>4312754</v>
      </c>
      <c r="H28" s="1186">
        <f>SUM(H29,H30,H31)</f>
        <v>4306132.0200000005</v>
      </c>
      <c r="I28" s="1263">
        <f t="shared" si="2"/>
        <v>99.84645588410562</v>
      </c>
      <c r="J28" s="1236"/>
      <c r="K28" s="1106">
        <f>SUM(H28)</f>
        <v>4306132.0200000005</v>
      </c>
      <c r="L28" s="1134"/>
      <c r="O28" s="1245" t="s">
        <v>1227</v>
      </c>
    </row>
    <row r="29" spans="1:15" s="125" customFormat="1" ht="30" customHeight="1">
      <c r="A29" s="1242"/>
      <c r="B29" s="1264" t="s">
        <v>6</v>
      </c>
      <c r="C29" s="1265" t="s">
        <v>385</v>
      </c>
      <c r="D29" s="1256">
        <f>SUM(6DOCHODY!E500,6DOCHODY!E501)</f>
        <v>4312588</v>
      </c>
      <c r="E29" s="1256">
        <f>SUM(6DOCHODY!F500,6DOCHODY!F501)</f>
        <v>4305966.02</v>
      </c>
      <c r="F29" s="1234">
        <f t="shared" si="0"/>
        <v>99.84644997389037</v>
      </c>
      <c r="G29" s="1122">
        <f>D29</f>
        <v>4312588</v>
      </c>
      <c r="H29" s="1122">
        <f>SUM('12DiW zlecone'!D57)</f>
        <v>4305966.0200000005</v>
      </c>
      <c r="I29" s="1259">
        <f t="shared" si="2"/>
        <v>99.8464499738904</v>
      </c>
      <c r="J29" s="1236">
        <f t="shared" si="3"/>
        <v>6621.979999999516</v>
      </c>
      <c r="K29" s="1225"/>
      <c r="L29" s="1084"/>
      <c r="O29" s="1244" t="s">
        <v>267</v>
      </c>
    </row>
    <row r="30" spans="1:15" ht="20.25" customHeight="1" hidden="1">
      <c r="A30" s="501"/>
      <c r="B30" s="508" t="s">
        <v>7</v>
      </c>
      <c r="C30" s="515" t="s">
        <v>8</v>
      </c>
      <c r="D30" s="510">
        <f>SUM(6DOCHODY!E153)</f>
        <v>0</v>
      </c>
      <c r="E30" s="510">
        <f>SUM(6DOCHODY!F153)</f>
        <v>0</v>
      </c>
      <c r="F30" s="519" t="e">
        <f t="shared" si="0"/>
        <v>#DIV/0!</v>
      </c>
      <c r="G30" s="487">
        <f>D30</f>
        <v>0</v>
      </c>
      <c r="H30" s="487">
        <v>0</v>
      </c>
      <c r="I30" s="511" t="e">
        <f t="shared" si="2"/>
        <v>#DIV/0!</v>
      </c>
      <c r="J30" s="506">
        <f t="shared" si="3"/>
        <v>0</v>
      </c>
      <c r="L30" s="477"/>
      <c r="O30" s="1244" t="s">
        <v>267</v>
      </c>
    </row>
    <row r="31" spans="1:15" s="125" customFormat="1" ht="24.75" customHeight="1">
      <c r="A31" s="1231"/>
      <c r="B31" s="1257" t="s">
        <v>1733</v>
      </c>
      <c r="C31" s="1265" t="s">
        <v>1734</v>
      </c>
      <c r="D31" s="1256">
        <f>6DOCHODY!E503</f>
        <v>166</v>
      </c>
      <c r="E31" s="1256">
        <f>6DOCHODY!F503</f>
        <v>166</v>
      </c>
      <c r="F31" s="1267">
        <f t="shared" si="0"/>
        <v>100</v>
      </c>
      <c r="G31" s="1122">
        <f>D31</f>
        <v>166</v>
      </c>
      <c r="H31" s="1122">
        <f>SUM('12DiW zlecone'!D61)</f>
        <v>166</v>
      </c>
      <c r="I31" s="1259">
        <f t="shared" si="2"/>
        <v>100</v>
      </c>
      <c r="J31" s="1236"/>
      <c r="K31" s="1225"/>
      <c r="L31" s="1084"/>
      <c r="O31" s="1244" t="s">
        <v>267</v>
      </c>
    </row>
    <row r="32" spans="1:15" s="118" customFormat="1" ht="21.75" customHeight="1">
      <c r="A32" s="1246" t="s">
        <v>12</v>
      </c>
      <c r="B32" s="1260"/>
      <c r="C32" s="1275" t="s">
        <v>13</v>
      </c>
      <c r="D32" s="1918">
        <f>SUM(D33:D35)</f>
        <v>582438</v>
      </c>
      <c r="E32" s="1918">
        <f>SUM(E33:E35)</f>
        <v>572989.5</v>
      </c>
      <c r="F32" s="1919">
        <f t="shared" si="0"/>
        <v>98.37776724732933</v>
      </c>
      <c r="G32" s="1920">
        <f>SUM(G33:G35)</f>
        <v>582438</v>
      </c>
      <c r="H32" s="1920">
        <f>SUM(H33:H35)</f>
        <v>572989.5</v>
      </c>
      <c r="I32" s="1921">
        <f t="shared" si="2"/>
        <v>98.37776724732933</v>
      </c>
      <c r="J32" s="1236"/>
      <c r="K32" s="1105"/>
      <c r="L32" s="1134"/>
      <c r="O32" s="1245" t="s">
        <v>1227</v>
      </c>
    </row>
    <row r="33" spans="1:15" s="125" customFormat="1" ht="20.25" customHeight="1">
      <c r="A33" s="1231"/>
      <c r="B33" s="1257" t="s">
        <v>14</v>
      </c>
      <c r="C33" s="1258" t="s">
        <v>15</v>
      </c>
      <c r="D33" s="1256">
        <f>SUM(6DOCHODY!E222,6DOCHODY!E227)</f>
        <v>63850</v>
      </c>
      <c r="E33" s="1256">
        <f>SUM(6DOCHODY!F222,6DOCHODY!F227)</f>
        <v>62053.5</v>
      </c>
      <c r="F33" s="1234">
        <f t="shared" si="0"/>
        <v>97.18637431480032</v>
      </c>
      <c r="G33" s="1122">
        <f>D33</f>
        <v>63850</v>
      </c>
      <c r="H33" s="1122">
        <v>62053.5</v>
      </c>
      <c r="I33" s="1259">
        <f t="shared" si="2"/>
        <v>97.18637431480032</v>
      </c>
      <c r="J33" s="1236">
        <f t="shared" si="3"/>
        <v>1796.5</v>
      </c>
      <c r="K33" s="1225"/>
      <c r="L33" s="1084"/>
      <c r="M33" s="125">
        <v>0</v>
      </c>
      <c r="N33" s="1084">
        <f>L33+M33</f>
        <v>0</v>
      </c>
      <c r="O33" s="1244" t="s">
        <v>409</v>
      </c>
    </row>
    <row r="34" spans="1:15" s="125" customFormat="1" ht="20.25" customHeight="1">
      <c r="A34" s="1231"/>
      <c r="B34" s="1257" t="s">
        <v>1755</v>
      </c>
      <c r="C34" s="1258" t="s">
        <v>1756</v>
      </c>
      <c r="D34" s="1256">
        <f>SUM(6DOCHODY!E233)</f>
        <v>503010</v>
      </c>
      <c r="E34" s="1256">
        <f>SUM(6DOCHODY!F233)</f>
        <v>503010</v>
      </c>
      <c r="F34" s="1234">
        <f t="shared" si="0"/>
        <v>100</v>
      </c>
      <c r="G34" s="1122">
        <f>D34</f>
        <v>503010</v>
      </c>
      <c r="H34" s="1122">
        <v>503010</v>
      </c>
      <c r="I34" s="1234">
        <f t="shared" si="2"/>
        <v>100</v>
      </c>
      <c r="J34" s="1236"/>
      <c r="K34" s="1225"/>
      <c r="L34" s="1084"/>
      <c r="N34" s="1084"/>
      <c r="O34" s="1244"/>
    </row>
    <row r="35" spans="1:15" s="125" customFormat="1" ht="20.25" customHeight="1">
      <c r="A35" s="1231"/>
      <c r="B35" s="1257" t="s">
        <v>1769</v>
      </c>
      <c r="C35" s="1258" t="s">
        <v>215</v>
      </c>
      <c r="D35" s="1256">
        <f>SUM(6DOCHODY!E249,6DOCHODY!E250,6DOCHODY!E251,6DOCHODY!E253,6DOCHODY!E541,6DOCHODY!E542)</f>
        <v>15578</v>
      </c>
      <c r="E35" s="1256">
        <f>SUM(6DOCHODY!F249,6DOCHODY!F250,6DOCHODY!F251,6DOCHODY!F253,6DOCHODY!F541,6DOCHODY!F542)</f>
        <v>7926</v>
      </c>
      <c r="F35" s="1234">
        <f t="shared" si="0"/>
        <v>50.87944537167801</v>
      </c>
      <c r="G35" s="1122">
        <f>D35</f>
        <v>15578</v>
      </c>
      <c r="H35" s="1122">
        <f>'13DiW porozumienia'!D17+6DOCHODY!F251</f>
        <v>7926</v>
      </c>
      <c r="I35" s="1259">
        <f t="shared" si="2"/>
        <v>50.87944537167801</v>
      </c>
      <c r="J35" s="1236">
        <f t="shared" si="3"/>
        <v>7652</v>
      </c>
      <c r="K35" s="1225"/>
      <c r="L35" s="1084"/>
      <c r="O35" s="1244" t="s">
        <v>270</v>
      </c>
    </row>
    <row r="36" spans="1:15" s="118" customFormat="1" ht="20.25" customHeight="1">
      <c r="A36" s="1246" t="s">
        <v>21</v>
      </c>
      <c r="B36" s="1260"/>
      <c r="C36" s="1276" t="s">
        <v>22</v>
      </c>
      <c r="D36" s="1262">
        <f>SUM(D37,D38)</f>
        <v>942500</v>
      </c>
      <c r="E36" s="1262">
        <f>SUM(E37,E38)</f>
        <v>931097.26</v>
      </c>
      <c r="F36" s="1250">
        <f t="shared" si="0"/>
        <v>98.7901602122016</v>
      </c>
      <c r="G36" s="1186">
        <f>SUM(G37,G38)</f>
        <v>942500</v>
      </c>
      <c r="H36" s="1186">
        <f>SUM(H37,H38)</f>
        <v>931097.26</v>
      </c>
      <c r="I36" s="1263">
        <f t="shared" si="2"/>
        <v>98.7901602122016</v>
      </c>
      <c r="J36" s="1236"/>
      <c r="K36" s="1106">
        <f>SUM(H37:H38)</f>
        <v>931097.26</v>
      </c>
      <c r="L36" s="1134"/>
      <c r="O36" s="1245" t="s">
        <v>1227</v>
      </c>
    </row>
    <row r="37" spans="1:15" s="125" customFormat="1" ht="52.5" customHeight="1">
      <c r="A37" s="1242"/>
      <c r="B37" s="1264" t="s">
        <v>1206</v>
      </c>
      <c r="C37" s="1265" t="s">
        <v>1693</v>
      </c>
      <c r="D37" s="1256">
        <f>SUM(6DOCHODY!E548)</f>
        <v>935500</v>
      </c>
      <c r="E37" s="1256">
        <f>SUM(6DOCHODY!F548)</f>
        <v>924676.8</v>
      </c>
      <c r="F37" s="1234">
        <f t="shared" si="0"/>
        <v>98.84305718866916</v>
      </c>
      <c r="G37" s="1122">
        <f>D37</f>
        <v>935500</v>
      </c>
      <c r="H37" s="1122">
        <f>SUM('12DiW zlecone'!D63)</f>
        <v>924676.8</v>
      </c>
      <c r="I37" s="1259">
        <f t="shared" si="2"/>
        <v>98.84305718866916</v>
      </c>
      <c r="J37" s="1236">
        <f t="shared" si="3"/>
        <v>10823.199999999953</v>
      </c>
      <c r="K37" s="1225"/>
      <c r="L37" s="1084"/>
      <c r="O37" s="1244" t="s">
        <v>267</v>
      </c>
    </row>
    <row r="38" spans="1:15" s="125" customFormat="1" ht="21" customHeight="1">
      <c r="A38" s="1242"/>
      <c r="B38" s="1264" t="s">
        <v>764</v>
      </c>
      <c r="C38" s="1265" t="s">
        <v>215</v>
      </c>
      <c r="D38" s="1256">
        <f>SUM(6DOCHODY!E270,6DOCHODY!E271)</f>
        <v>7000</v>
      </c>
      <c r="E38" s="1256">
        <f>SUM(6DOCHODY!F270,6DOCHODY!F271)</f>
        <v>6420.46</v>
      </c>
      <c r="F38" s="1234">
        <f t="shared" si="0"/>
        <v>91.72085714285714</v>
      </c>
      <c r="G38" s="1122">
        <f>D38</f>
        <v>7000</v>
      </c>
      <c r="H38" s="1122">
        <f>SUM('12DiW zlecone'!D23)</f>
        <v>6420.46</v>
      </c>
      <c r="I38" s="1259">
        <f t="shared" si="2"/>
        <v>91.72085714285714</v>
      </c>
      <c r="J38" s="1236">
        <f t="shared" si="3"/>
        <v>579.54</v>
      </c>
      <c r="K38" s="1225"/>
      <c r="L38" s="1084"/>
      <c r="O38" s="1244" t="s">
        <v>411</v>
      </c>
    </row>
    <row r="39" spans="1:15" s="118" customFormat="1" ht="21" customHeight="1">
      <c r="A39" s="1271" t="s">
        <v>574</v>
      </c>
      <c r="B39" s="1272"/>
      <c r="C39" s="1248" t="s">
        <v>585</v>
      </c>
      <c r="D39" s="1249">
        <f>SUM(D40,D41,D42,D43,D44,D45,D46,D47,D48,D49,D50,D51,D52,D53)</f>
        <v>9147112.99</v>
      </c>
      <c r="E39" s="1249">
        <f>SUM(E40,E41,E42,E43,E44,E45,E46,E47,E48,E49,E50,E51,E52,E53)</f>
        <v>8909737.97</v>
      </c>
      <c r="F39" s="1250">
        <f t="shared" si="0"/>
        <v>97.40491868571529</v>
      </c>
      <c r="G39" s="1273">
        <f>SUM(G40,G41,G42,G43,G44,G45,G46,G47,G48,G49,G50,G51,G52,G53)</f>
        <v>9147112.99</v>
      </c>
      <c r="H39" s="1273">
        <f>SUM(H40,H41,H42,H43,H44,H45,H46,H47,H48,H49,H50,H51,H52,H53)</f>
        <v>8909737.97</v>
      </c>
      <c r="I39" s="1252">
        <f t="shared" si="2"/>
        <v>97.40491868571529</v>
      </c>
      <c r="J39" s="1236"/>
      <c r="K39" s="1106">
        <f>SUM(H40:H53)</f>
        <v>8909737.97</v>
      </c>
      <c r="L39" s="1134"/>
      <c r="O39" s="1245" t="s">
        <v>1227</v>
      </c>
    </row>
    <row r="40" spans="1:15" s="125" customFormat="1" ht="19.5" customHeight="1">
      <c r="A40" s="1242"/>
      <c r="B40" s="1240" t="s">
        <v>586</v>
      </c>
      <c r="C40" s="1243" t="s">
        <v>289</v>
      </c>
      <c r="D40" s="1233">
        <f>SUM(6DOCHODY!E283,6DOCHODY!E555)</f>
        <v>198740</v>
      </c>
      <c r="E40" s="1233">
        <f>SUM(6DOCHODY!F283,6DOCHODY!F555)</f>
        <v>190380</v>
      </c>
      <c r="F40" s="1234">
        <f t="shared" si="0"/>
        <v>95.79349904397706</v>
      </c>
      <c r="G40" s="1117">
        <f aca="true" t="shared" si="4" ref="G40:G53">D40</f>
        <v>198740</v>
      </c>
      <c r="H40" s="1117">
        <f>SUM('12DiW zlecone'!D25)</f>
        <v>190380</v>
      </c>
      <c r="I40" s="1235">
        <f t="shared" si="2"/>
        <v>95.79349904397706</v>
      </c>
      <c r="J40" s="1236">
        <f t="shared" si="3"/>
        <v>8360</v>
      </c>
      <c r="K40" s="1225"/>
      <c r="L40" s="1084"/>
      <c r="O40" s="1244" t="s">
        <v>411</v>
      </c>
    </row>
    <row r="41" spans="1:15" s="125" customFormat="1" ht="19.5" customHeight="1">
      <c r="A41" s="1242"/>
      <c r="B41" s="1240" t="s">
        <v>769</v>
      </c>
      <c r="C41" s="1243" t="s">
        <v>770</v>
      </c>
      <c r="D41" s="1233">
        <f>SUM(6DOCHODY!E559,6DOCHODY!E560)</f>
        <v>62340.990000000005</v>
      </c>
      <c r="E41" s="1233">
        <f>SUM(6DOCHODY!F559,6DOCHODY!F560)</f>
        <v>62152.990000000005</v>
      </c>
      <c r="F41" s="1234">
        <f t="shared" si="0"/>
        <v>99.69843276470264</v>
      </c>
      <c r="G41" s="1117">
        <f t="shared" si="4"/>
        <v>62340.990000000005</v>
      </c>
      <c r="H41" s="1117">
        <f>SUM('13DiW porozumienia'!D27)+6DOCHODY!F560</f>
        <v>62152.990000000005</v>
      </c>
      <c r="I41" s="1235">
        <f t="shared" si="2"/>
        <v>99.69843276470264</v>
      </c>
      <c r="J41" s="1236"/>
      <c r="K41" s="1225"/>
      <c r="L41" s="1084"/>
      <c r="O41" s="1244" t="s">
        <v>410</v>
      </c>
    </row>
    <row r="42" spans="1:15" s="125" customFormat="1" ht="46.5" customHeight="1">
      <c r="A42" s="1242"/>
      <c r="B42" s="1269" t="s">
        <v>550</v>
      </c>
      <c r="C42" s="1270" t="s">
        <v>1594</v>
      </c>
      <c r="D42" s="1256">
        <f>SUM(6DOCHODY!E565)</f>
        <v>318000</v>
      </c>
      <c r="E42" s="1233">
        <f>SUM(6DOCHODY!F565)</f>
        <v>313604.45</v>
      </c>
      <c r="F42" s="1234">
        <f t="shared" si="0"/>
        <v>98.61775157232705</v>
      </c>
      <c r="G42" s="1117">
        <f t="shared" si="4"/>
        <v>318000</v>
      </c>
      <c r="H42" s="1117">
        <f>SUM('12DiW zlecone'!D65)</f>
        <v>313604.44999999995</v>
      </c>
      <c r="I42" s="1235">
        <f t="shared" si="2"/>
        <v>98.61775157232702</v>
      </c>
      <c r="J42" s="1236"/>
      <c r="K42" s="1225"/>
      <c r="L42" s="1084"/>
      <c r="O42" s="1244" t="s">
        <v>267</v>
      </c>
    </row>
    <row r="43" spans="1:15" s="125" customFormat="1" ht="24" customHeight="1">
      <c r="A43" s="1242"/>
      <c r="B43" s="1240" t="s">
        <v>203</v>
      </c>
      <c r="C43" s="1241" t="s">
        <v>204</v>
      </c>
      <c r="D43" s="1233">
        <f>6DOCHODY!E290</f>
        <v>32436</v>
      </c>
      <c r="E43" s="1233">
        <f>6DOCHODY!F290</f>
        <v>32436</v>
      </c>
      <c r="F43" s="1234">
        <f t="shared" si="0"/>
        <v>100</v>
      </c>
      <c r="G43" s="1117">
        <f t="shared" si="4"/>
        <v>32436</v>
      </c>
      <c r="H43" s="1117">
        <f>6DOCHODY!F290</f>
        <v>32436</v>
      </c>
      <c r="I43" s="1235">
        <f t="shared" si="2"/>
        <v>100</v>
      </c>
      <c r="J43" s="1236"/>
      <c r="K43" s="1225"/>
      <c r="L43" s="1084"/>
      <c r="O43" s="1244" t="s">
        <v>409</v>
      </c>
    </row>
    <row r="44" spans="1:15" s="125" customFormat="1" ht="78.75" customHeight="1">
      <c r="A44" s="1242"/>
      <c r="B44" s="1264" t="s">
        <v>576</v>
      </c>
      <c r="C44" s="1266" t="s">
        <v>1253</v>
      </c>
      <c r="D44" s="1256">
        <f>SUM(6DOCHODY!E296)</f>
        <v>5765000</v>
      </c>
      <c r="E44" s="1256">
        <f>SUM(6DOCHODY!F296)</f>
        <v>5585215.54</v>
      </c>
      <c r="F44" s="1267">
        <f t="shared" si="0"/>
        <v>96.88144908933218</v>
      </c>
      <c r="G44" s="1122">
        <f t="shared" si="4"/>
        <v>5765000</v>
      </c>
      <c r="H44" s="1122">
        <f>SUM('12DiW zlecone'!D27)</f>
        <v>5585215.54</v>
      </c>
      <c r="I44" s="1259">
        <f t="shared" si="2"/>
        <v>96.88144908933218</v>
      </c>
      <c r="J44" s="1236">
        <f t="shared" si="3"/>
        <v>179784.45999999996</v>
      </c>
      <c r="K44" s="1225"/>
      <c r="L44" s="1084"/>
      <c r="O44" s="1244" t="s">
        <v>411</v>
      </c>
    </row>
    <row r="45" spans="1:15" s="125" customFormat="1" ht="111.75" customHeight="1">
      <c r="A45" s="1242"/>
      <c r="B45" s="1240" t="s">
        <v>577</v>
      </c>
      <c r="C45" s="1243" t="s">
        <v>1402</v>
      </c>
      <c r="D45" s="1233">
        <f>SUM(6DOCHODY!E301,6DOCHODY!E302)</f>
        <v>135500</v>
      </c>
      <c r="E45" s="1233">
        <f>SUM(6DOCHODY!F301,6DOCHODY!F302)</f>
        <v>128373.12</v>
      </c>
      <c r="F45" s="1234">
        <f t="shared" si="0"/>
        <v>94.74030996309962</v>
      </c>
      <c r="G45" s="1117">
        <f t="shared" si="4"/>
        <v>135500</v>
      </c>
      <c r="H45" s="1117">
        <f>'12DiW zlecone'!D29+6DOCHODY!F302</f>
        <v>128373.12</v>
      </c>
      <c r="I45" s="1235">
        <f t="shared" si="2"/>
        <v>94.74030996309962</v>
      </c>
      <c r="J45" s="1236">
        <f t="shared" si="3"/>
        <v>7126.880000000005</v>
      </c>
      <c r="K45" s="1225"/>
      <c r="L45" s="1084"/>
      <c r="M45" s="125">
        <v>14345.76</v>
      </c>
      <c r="N45" s="1084">
        <f>L45+M45</f>
        <v>14345.76</v>
      </c>
      <c r="O45" s="1244" t="s">
        <v>1393</v>
      </c>
    </row>
    <row r="46" spans="1:15" s="125" customFormat="1" ht="41.25" customHeight="1">
      <c r="A46" s="1242"/>
      <c r="B46" s="1264" t="s">
        <v>578</v>
      </c>
      <c r="C46" s="1265" t="s">
        <v>448</v>
      </c>
      <c r="D46" s="1256">
        <f>SUM(6DOCHODY!E306,6DOCHODY!E307)</f>
        <v>288000</v>
      </c>
      <c r="E46" s="1256">
        <f>SUM(6DOCHODY!F306,6DOCHODY!F307)</f>
        <v>287969.27</v>
      </c>
      <c r="F46" s="1234">
        <f t="shared" si="0"/>
        <v>99.98932986111112</v>
      </c>
      <c r="G46" s="1122">
        <f t="shared" si="4"/>
        <v>288000</v>
      </c>
      <c r="H46" s="1122">
        <f>6DOCHODY!F307</f>
        <v>287969.27</v>
      </c>
      <c r="I46" s="1259">
        <f t="shared" si="2"/>
        <v>99.98932986111112</v>
      </c>
      <c r="J46" s="1236">
        <f t="shared" si="3"/>
        <v>30.729999999981374</v>
      </c>
      <c r="K46" s="1225"/>
      <c r="L46" s="1084"/>
      <c r="M46" s="125">
        <v>0</v>
      </c>
      <c r="N46" s="1084">
        <f>L46+M46</f>
        <v>0</v>
      </c>
      <c r="O46" s="1244" t="s">
        <v>409</v>
      </c>
    </row>
    <row r="47" spans="1:15" s="125" customFormat="1" ht="23.25" customHeight="1">
      <c r="A47" s="1242"/>
      <c r="B47" s="1264" t="s">
        <v>547</v>
      </c>
      <c r="C47" s="1268" t="s">
        <v>1739</v>
      </c>
      <c r="D47" s="1256">
        <f>SUM(6DOCHODY!E312)</f>
        <v>956274</v>
      </c>
      <c r="E47" s="1256">
        <f>SUM(6DOCHODY!F312)</f>
        <v>926287.59</v>
      </c>
      <c r="F47" s="1234">
        <f t="shared" si="0"/>
        <v>96.86424497581237</v>
      </c>
      <c r="G47" s="1122">
        <f t="shared" si="4"/>
        <v>956274</v>
      </c>
      <c r="H47" s="1122">
        <f>6DOCHODY!F312</f>
        <v>926287.59</v>
      </c>
      <c r="I47" s="1259">
        <f t="shared" si="2"/>
        <v>96.86424497581237</v>
      </c>
      <c r="J47" s="1236">
        <f t="shared" si="3"/>
        <v>29986.410000000033</v>
      </c>
      <c r="K47" s="1225"/>
      <c r="L47" s="1084"/>
      <c r="N47" s="1084">
        <f>L47+M47</f>
        <v>0</v>
      </c>
      <c r="O47" s="1244" t="s">
        <v>409</v>
      </c>
    </row>
    <row r="48" spans="1:12" ht="26.25" customHeight="1" hidden="1">
      <c r="A48" s="516"/>
      <c r="B48" s="1659" t="s">
        <v>771</v>
      </c>
      <c r="C48" s="1660" t="s">
        <v>772</v>
      </c>
      <c r="D48" s="1661">
        <f>SUM(6DOCHODY!E568)</f>
        <v>0</v>
      </c>
      <c r="E48" s="1661">
        <f>SUM(6DOCHODY!F568)</f>
        <v>0</v>
      </c>
      <c r="F48" s="1662" t="e">
        <f t="shared" si="0"/>
        <v>#DIV/0!</v>
      </c>
      <c r="G48" s="1663">
        <f t="shared" si="4"/>
        <v>0</v>
      </c>
      <c r="H48" s="1663"/>
      <c r="I48" s="1664" t="e">
        <f t="shared" si="2"/>
        <v>#DIV/0!</v>
      </c>
      <c r="J48" s="506">
        <f t="shared" si="3"/>
        <v>0</v>
      </c>
      <c r="L48" s="477"/>
    </row>
    <row r="49" spans="1:15" s="125" customFormat="1" ht="21" customHeight="1">
      <c r="A49" s="1231"/>
      <c r="B49" s="1257" t="s">
        <v>580</v>
      </c>
      <c r="C49" s="1258" t="s">
        <v>31</v>
      </c>
      <c r="D49" s="1256">
        <f>SUM(6DOCHODY!E317,6DOCHODY!E318)</f>
        <v>599150</v>
      </c>
      <c r="E49" s="1256">
        <f>SUM(6DOCHODY!F317,6DOCHODY!F318)</f>
        <v>599150</v>
      </c>
      <c r="F49" s="1234">
        <f t="shared" si="0"/>
        <v>100</v>
      </c>
      <c r="G49" s="1122">
        <f t="shared" si="4"/>
        <v>599150</v>
      </c>
      <c r="H49" s="1122">
        <f>'12DiW zlecone'!D33+6DOCHODY!F318</f>
        <v>599150</v>
      </c>
      <c r="I49" s="1259">
        <f t="shared" si="2"/>
        <v>100</v>
      </c>
      <c r="J49" s="1236">
        <f t="shared" si="3"/>
        <v>0</v>
      </c>
      <c r="K49" s="1225"/>
      <c r="L49" s="1217"/>
      <c r="M49" s="125">
        <v>2280.65</v>
      </c>
      <c r="N49" s="1084">
        <f>L49+M49</f>
        <v>2280.65</v>
      </c>
      <c r="O49" s="1244" t="s">
        <v>269</v>
      </c>
    </row>
    <row r="50" spans="1:12" ht="54" customHeight="1" hidden="1">
      <c r="A50" s="501"/>
      <c r="B50" s="508" t="s">
        <v>736</v>
      </c>
      <c r="C50" s="509" t="s">
        <v>737</v>
      </c>
      <c r="D50" s="510">
        <f>SUM(6DOCHODY!E571)</f>
        <v>0</v>
      </c>
      <c r="E50" s="510">
        <f>SUM(6DOCHODY!F571)</f>
        <v>0</v>
      </c>
      <c r="F50" s="504" t="e">
        <f t="shared" si="0"/>
        <v>#DIV/0!</v>
      </c>
      <c r="G50" s="487">
        <f t="shared" si="4"/>
        <v>0</v>
      </c>
      <c r="H50" s="487"/>
      <c r="I50" s="511" t="e">
        <f aca="true" t="shared" si="5" ref="I50:I64">H50/G50*100</f>
        <v>#DIV/0!</v>
      </c>
      <c r="J50" s="506">
        <f t="shared" si="3"/>
        <v>0</v>
      </c>
      <c r="L50" s="477"/>
    </row>
    <row r="51" spans="1:15" s="125" customFormat="1" ht="39.75" customHeight="1">
      <c r="A51" s="1242"/>
      <c r="B51" s="1264" t="s">
        <v>582</v>
      </c>
      <c r="C51" s="1265" t="s">
        <v>34</v>
      </c>
      <c r="D51" s="1256">
        <f>SUM(6DOCHODY!E324)</f>
        <v>78000</v>
      </c>
      <c r="E51" s="1256">
        <f>SUM(6DOCHODY!F324)</f>
        <v>77707.01</v>
      </c>
      <c r="F51" s="1234">
        <f t="shared" si="0"/>
        <v>99.62437179487179</v>
      </c>
      <c r="G51" s="1122">
        <f t="shared" si="4"/>
        <v>78000</v>
      </c>
      <c r="H51" s="1122">
        <f>SUM('12DiW zlecone'!D35)</f>
        <v>77707.01000000001</v>
      </c>
      <c r="I51" s="1259">
        <f t="shared" si="5"/>
        <v>99.6243717948718</v>
      </c>
      <c r="J51" s="1236">
        <f t="shared" si="3"/>
        <v>292.9899999999907</v>
      </c>
      <c r="K51" s="1225"/>
      <c r="L51" s="1084"/>
      <c r="O51" s="1244" t="s">
        <v>411</v>
      </c>
    </row>
    <row r="52" spans="1:12" ht="33" customHeight="1" hidden="1">
      <c r="A52" s="516"/>
      <c r="B52" s="517" t="s">
        <v>1645</v>
      </c>
      <c r="C52" s="509" t="s">
        <v>1734</v>
      </c>
      <c r="D52" s="510">
        <f>6DOCHODY!E326</f>
        <v>0</v>
      </c>
      <c r="E52" s="510">
        <f>6DOCHODY!F326</f>
        <v>0</v>
      </c>
      <c r="F52" s="504" t="e">
        <f t="shared" si="0"/>
        <v>#DIV/0!</v>
      </c>
      <c r="G52" s="487">
        <f t="shared" si="4"/>
        <v>0</v>
      </c>
      <c r="H52" s="487">
        <f>'12DiW zlecone'!D37</f>
        <v>0</v>
      </c>
      <c r="I52" s="511" t="e">
        <f t="shared" si="5"/>
        <v>#DIV/0!</v>
      </c>
      <c r="J52" s="506"/>
      <c r="L52" s="477"/>
    </row>
    <row r="53" spans="1:15" s="125" customFormat="1" ht="21.75" customHeight="1">
      <c r="A53" s="1242"/>
      <c r="B53" s="1264" t="s">
        <v>584</v>
      </c>
      <c r="C53" s="1265" t="s">
        <v>215</v>
      </c>
      <c r="D53" s="1256">
        <f>SUM(6DOCHODY!E329,6DOCHODY!E330,6DOCHODY!E331,6DOCHODY!E573)</f>
        <v>713672</v>
      </c>
      <c r="E53" s="1256">
        <f>SUM(6DOCHODY!F329,6DOCHODY!F330,6DOCHODY!F331,6DOCHODY!F573)</f>
        <v>706462</v>
      </c>
      <c r="F53" s="1234">
        <f t="shared" si="0"/>
        <v>98.98973197771525</v>
      </c>
      <c r="G53" s="1122">
        <f t="shared" si="4"/>
        <v>713672</v>
      </c>
      <c r="H53" s="1122">
        <f>'12DiW zlecone'!D39+'13DiW porozumienia'!D29+6DOCHODY!F331</f>
        <v>706462</v>
      </c>
      <c r="I53" s="1259">
        <f t="shared" si="5"/>
        <v>98.98973197771525</v>
      </c>
      <c r="J53" s="1236">
        <f t="shared" si="3"/>
        <v>7210</v>
      </c>
      <c r="K53" s="1225"/>
      <c r="L53" s="1084"/>
      <c r="M53" s="125">
        <f>22400</f>
        <v>22400</v>
      </c>
      <c r="N53" s="1084">
        <f>L53+M53</f>
        <v>22400</v>
      </c>
      <c r="O53" s="1244" t="s">
        <v>1393</v>
      </c>
    </row>
    <row r="54" spans="1:17" s="118" customFormat="1" ht="37.5" customHeight="1">
      <c r="A54" s="1271" t="s">
        <v>25</v>
      </c>
      <c r="B54" s="1274"/>
      <c r="C54" s="1261" t="s">
        <v>1095</v>
      </c>
      <c r="D54" s="1262">
        <f>SUM(D55,D56,D57)</f>
        <v>35000</v>
      </c>
      <c r="E54" s="1262">
        <f>SUM(E55,E56,E57)</f>
        <v>35000</v>
      </c>
      <c r="F54" s="1250">
        <f t="shared" si="0"/>
        <v>100</v>
      </c>
      <c r="G54" s="1262">
        <f>SUM(G55,G56,G57)</f>
        <v>35000</v>
      </c>
      <c r="H54" s="1262">
        <f>SUM(H55,H56,H57)</f>
        <v>35000</v>
      </c>
      <c r="I54" s="1263">
        <f t="shared" si="5"/>
        <v>100</v>
      </c>
      <c r="J54" s="1236"/>
      <c r="K54" s="1106">
        <f>SUM(H54)</f>
        <v>35000</v>
      </c>
      <c r="L54" s="1134"/>
      <c r="O54" s="1245" t="s">
        <v>1227</v>
      </c>
      <c r="Q54" s="1666"/>
    </row>
    <row r="55" spans="1:12" ht="23.25" customHeight="1" hidden="1">
      <c r="A55" s="516"/>
      <c r="B55" s="1659" t="s">
        <v>26</v>
      </c>
      <c r="C55" s="1665" t="s">
        <v>1096</v>
      </c>
      <c r="D55" s="1661">
        <f>6DOCHODY!E338</f>
        <v>0</v>
      </c>
      <c r="E55" s="1661">
        <f>6DOCHODY!F338</f>
        <v>0</v>
      </c>
      <c r="F55" s="1662" t="e">
        <f t="shared" si="0"/>
        <v>#DIV/0!</v>
      </c>
      <c r="G55" s="1663">
        <f>D55</f>
        <v>0</v>
      </c>
      <c r="H55" s="1667"/>
      <c r="I55" s="1664" t="e">
        <f t="shared" si="5"/>
        <v>#DIV/0!</v>
      </c>
      <c r="J55" s="506"/>
      <c r="K55" s="506"/>
      <c r="L55" s="477"/>
    </row>
    <row r="56" spans="1:15" s="125" customFormat="1" ht="26.25" customHeight="1">
      <c r="A56" s="1242"/>
      <c r="B56" s="1264" t="s">
        <v>33</v>
      </c>
      <c r="C56" s="1265" t="s">
        <v>1546</v>
      </c>
      <c r="D56" s="1256">
        <f>SUM(6DOCHODY!E576)</f>
        <v>35000</v>
      </c>
      <c r="E56" s="1256">
        <f>SUM(6DOCHODY!F576)</f>
        <v>35000</v>
      </c>
      <c r="F56" s="1234">
        <f t="shared" si="0"/>
        <v>100</v>
      </c>
      <c r="G56" s="1122">
        <f>D56</f>
        <v>35000</v>
      </c>
      <c r="H56" s="1122">
        <f>SUM('12DiW zlecone'!D67)</f>
        <v>35000</v>
      </c>
      <c r="I56" s="1259">
        <f t="shared" si="5"/>
        <v>100</v>
      </c>
      <c r="J56" s="1236">
        <f t="shared" si="3"/>
        <v>0</v>
      </c>
      <c r="K56" s="1225"/>
      <c r="L56" s="1084"/>
      <c r="O56" s="1244" t="s">
        <v>267</v>
      </c>
    </row>
    <row r="57" spans="1:12" ht="20.25" customHeight="1" hidden="1">
      <c r="A57" s="516"/>
      <c r="B57" s="517" t="s">
        <v>1619</v>
      </c>
      <c r="C57" s="509" t="s">
        <v>1620</v>
      </c>
      <c r="D57" s="510">
        <f>6DOCHODY!E582</f>
        <v>0</v>
      </c>
      <c r="E57" s="510">
        <f>6DOCHODY!F582</f>
        <v>0</v>
      </c>
      <c r="F57" s="504" t="e">
        <f>E57/D57*100</f>
        <v>#DIV/0!</v>
      </c>
      <c r="G57" s="487">
        <f>D57</f>
        <v>0</v>
      </c>
      <c r="H57" s="487"/>
      <c r="I57" s="511" t="e">
        <f>H57/G57*100</f>
        <v>#DIV/0!</v>
      </c>
      <c r="J57" s="506">
        <f>G57-H57</f>
        <v>0</v>
      </c>
      <c r="L57" s="477"/>
    </row>
    <row r="58" spans="1:15" s="118" customFormat="1" ht="29.25" customHeight="1">
      <c r="A58" s="1271" t="s">
        <v>35</v>
      </c>
      <c r="B58" s="1274"/>
      <c r="C58" s="1261" t="s">
        <v>38</v>
      </c>
      <c r="D58" s="1262">
        <f>SUM(D59,D60,D61)</f>
        <v>236722</v>
      </c>
      <c r="E58" s="1262">
        <f>SUM(E59,E60,E61)</f>
        <v>146121.16999999998</v>
      </c>
      <c r="F58" s="1250">
        <f t="shared" si="0"/>
        <v>61.72690751176485</v>
      </c>
      <c r="G58" s="1186">
        <f>SUM(G59,G60,G61)</f>
        <v>236722</v>
      </c>
      <c r="H58" s="1186">
        <f>SUM(H59,H60,H61)</f>
        <v>146121.16999999998</v>
      </c>
      <c r="I58" s="1263">
        <f t="shared" si="5"/>
        <v>61.72690751176485</v>
      </c>
      <c r="J58" s="1236"/>
      <c r="K58" s="1106">
        <f>SUM(H58)</f>
        <v>146121.16999999998</v>
      </c>
      <c r="L58" s="1134"/>
      <c r="O58" s="1245" t="s">
        <v>1227</v>
      </c>
    </row>
    <row r="59" spans="1:12" ht="37.5" customHeight="1" hidden="1">
      <c r="A59" s="516"/>
      <c r="B59" s="517" t="s">
        <v>40</v>
      </c>
      <c r="C59" s="509" t="s">
        <v>28</v>
      </c>
      <c r="D59" s="510">
        <f>SUM(6DOCHODY!E594)</f>
        <v>0</v>
      </c>
      <c r="E59" s="510">
        <f>SUM(6DOCHODY!F594)</f>
        <v>0</v>
      </c>
      <c r="F59" s="504" t="e">
        <f t="shared" si="0"/>
        <v>#DIV/0!</v>
      </c>
      <c r="G59" s="487">
        <f>D59</f>
        <v>0</v>
      </c>
      <c r="H59" s="487">
        <f>E59</f>
        <v>0</v>
      </c>
      <c r="I59" s="511" t="e">
        <f t="shared" si="5"/>
        <v>#DIV/0!</v>
      </c>
      <c r="J59" s="506">
        <f t="shared" si="3"/>
        <v>0</v>
      </c>
      <c r="L59" s="477"/>
    </row>
    <row r="60" spans="1:15" s="125" customFormat="1" ht="20.25" customHeight="1">
      <c r="A60" s="1242"/>
      <c r="B60" s="1264" t="s">
        <v>88</v>
      </c>
      <c r="C60" s="1265" t="s">
        <v>89</v>
      </c>
      <c r="D60" s="1256">
        <f>SUM(6DOCHODY!E356,6DOCHODY!E357,6DOCHODY!E598,6DOCHODY!E358)</f>
        <v>236722</v>
      </c>
      <c r="E60" s="1256">
        <f>SUM(6DOCHODY!F356,6DOCHODY!F357,6DOCHODY!F598,6DOCHODY!F358)</f>
        <v>146121.16999999998</v>
      </c>
      <c r="F60" s="1234">
        <f t="shared" si="0"/>
        <v>61.72690751176485</v>
      </c>
      <c r="G60" s="1122">
        <f>D60</f>
        <v>236722</v>
      </c>
      <c r="H60" s="1122">
        <f>7500+86068.33+52552.84</f>
        <v>146121.16999999998</v>
      </c>
      <c r="I60" s="1259">
        <f t="shared" si="5"/>
        <v>61.72690751176485</v>
      </c>
      <c r="J60" s="1236">
        <f t="shared" si="3"/>
        <v>90600.83000000002</v>
      </c>
      <c r="K60" s="1225"/>
      <c r="L60" s="1084"/>
      <c r="M60" s="125">
        <v>0</v>
      </c>
      <c r="N60" s="1084">
        <f>L60+M60</f>
        <v>0</v>
      </c>
      <c r="O60" s="1244" t="s">
        <v>270</v>
      </c>
    </row>
    <row r="61" spans="1:12" ht="20.25" customHeight="1" hidden="1">
      <c r="A61" s="522"/>
      <c r="B61" s="523" t="s">
        <v>471</v>
      </c>
      <c r="C61" s="502" t="s">
        <v>215</v>
      </c>
      <c r="D61" s="524">
        <f>SUM(6DOCHODY!E605,6DOCHODY!E606)</f>
        <v>0</v>
      </c>
      <c r="E61" s="524">
        <f>SUM(6DOCHODY!F605,6DOCHODY!F606)</f>
        <v>0</v>
      </c>
      <c r="F61" s="504" t="e">
        <f t="shared" si="0"/>
        <v>#DIV/0!</v>
      </c>
      <c r="G61" s="491">
        <f>D61</f>
        <v>0</v>
      </c>
      <c r="H61" s="491">
        <f>E61</f>
        <v>0</v>
      </c>
      <c r="I61" s="505" t="e">
        <f t="shared" si="5"/>
        <v>#DIV/0!</v>
      </c>
      <c r="J61" s="506">
        <f t="shared" si="3"/>
        <v>0</v>
      </c>
      <c r="L61" s="477"/>
    </row>
    <row r="62" spans="1:15" s="476" customFormat="1" ht="26.25" customHeight="1" hidden="1">
      <c r="A62" s="521" t="s">
        <v>119</v>
      </c>
      <c r="B62" s="525"/>
      <c r="C62" s="512" t="s">
        <v>109</v>
      </c>
      <c r="D62" s="513">
        <f>SUM(D63)</f>
        <v>0</v>
      </c>
      <c r="E62" s="513">
        <f>SUM(E63)</f>
        <v>0</v>
      </c>
      <c r="F62" s="500" t="e">
        <f>E62/D62*100</f>
        <v>#DIV/0!</v>
      </c>
      <c r="G62" s="507">
        <f>SUM(G63)</f>
        <v>0</v>
      </c>
      <c r="H62" s="507">
        <f>SUM(H63)</f>
        <v>0</v>
      </c>
      <c r="I62" s="514" t="e">
        <f>H62/G62*100</f>
        <v>#DIV/0!</v>
      </c>
      <c r="J62" s="506"/>
      <c r="K62" s="486"/>
      <c r="L62" s="496"/>
      <c r="O62" s="1245"/>
    </row>
    <row r="63" spans="1:12" ht="21" customHeight="1" hidden="1">
      <c r="A63" s="516"/>
      <c r="B63" s="526" t="s">
        <v>122</v>
      </c>
      <c r="C63" s="509" t="s">
        <v>123</v>
      </c>
      <c r="D63" s="510">
        <f>SUM(6DOCHODY!E431)</f>
        <v>0</v>
      </c>
      <c r="E63" s="510">
        <f>SUM(6DOCHODY!F431)</f>
        <v>0</v>
      </c>
      <c r="F63" s="504" t="e">
        <f>E63/D63*100</f>
        <v>#DIV/0!</v>
      </c>
      <c r="G63" s="487">
        <f>D63</f>
        <v>0</v>
      </c>
      <c r="H63" s="487">
        <f>E63</f>
        <v>0</v>
      </c>
      <c r="I63" s="511" t="e">
        <f>H63/G63*100</f>
        <v>#DIV/0!</v>
      </c>
      <c r="J63" s="506">
        <f t="shared" si="3"/>
        <v>0</v>
      </c>
      <c r="L63" s="477"/>
    </row>
    <row r="64" spans="1:15" s="118" customFormat="1" ht="21.75" customHeight="1" thickBot="1">
      <c r="A64" s="2050" t="s">
        <v>1216</v>
      </c>
      <c r="B64" s="2051"/>
      <c r="C64" s="2051"/>
      <c r="D64" s="1279">
        <f>SUM(D7,D9,D12,D15,D20,D24,D28,D32,D36,D39,D54,D58,D62)</f>
        <v>16637992.56</v>
      </c>
      <c r="E64" s="1279">
        <f>SUM(E7,E9,E12,E15,E20,E24,E28,E32,E36,E39,E54,E58,E62)</f>
        <v>16255428.91</v>
      </c>
      <c r="F64" s="1280">
        <f>E64/D64*100</f>
        <v>97.70066221258125</v>
      </c>
      <c r="G64" s="1279">
        <f>SUM(G7,G9,G12,G15,G20,G24,G28,G32,G36,G39,G54,G58,G62)</f>
        <v>16637992.56</v>
      </c>
      <c r="H64" s="1279">
        <f>SUM(H7,H9,H12,H15,H20,H24,H28,H32,H36,H39,H54,H58,H62)</f>
        <v>16255428.910000002</v>
      </c>
      <c r="I64" s="1281">
        <f t="shared" si="5"/>
        <v>97.70066221258126</v>
      </c>
      <c r="J64" s="1236">
        <f t="shared" si="3"/>
        <v>382563.6499999985</v>
      </c>
      <c r="K64" s="1106">
        <f>SUM(K7:K60)</f>
        <v>15554864.870000001</v>
      </c>
      <c r="L64" s="1134"/>
      <c r="O64" s="1245"/>
    </row>
    <row r="65" spans="1:15" s="1284" customFormat="1" ht="15" customHeight="1">
      <c r="A65" s="2049" t="s">
        <v>318</v>
      </c>
      <c r="B65" s="2049"/>
      <c r="C65" s="2049"/>
      <c r="D65" s="2049"/>
      <c r="E65" s="2049"/>
      <c r="F65" s="2049"/>
      <c r="G65" s="2049"/>
      <c r="H65" s="2049"/>
      <c r="I65" s="2049"/>
      <c r="J65" s="1282"/>
      <c r="K65" s="1283"/>
      <c r="O65" s="1244"/>
    </row>
    <row r="66" spans="4:9" ht="12.75">
      <c r="D66" s="477"/>
      <c r="E66" s="477"/>
      <c r="F66" s="527"/>
      <c r="G66" s="506"/>
      <c r="H66" s="477"/>
      <c r="I66" s="528"/>
    </row>
    <row r="67" spans="1:15" s="125" customFormat="1" ht="12.75" hidden="1">
      <c r="A67" s="1224"/>
      <c r="B67" s="1224"/>
      <c r="C67" s="153"/>
      <c r="D67" s="1084"/>
      <c r="E67" s="1084"/>
      <c r="F67" s="1084"/>
      <c r="G67" s="1084"/>
      <c r="H67" s="1084"/>
      <c r="I67" s="1286"/>
      <c r="J67" s="1225"/>
      <c r="K67" s="1225"/>
      <c r="O67" s="1244"/>
    </row>
    <row r="68" spans="1:15" s="125" customFormat="1" ht="12.75" hidden="1">
      <c r="A68" s="1224"/>
      <c r="B68" s="1224"/>
      <c r="C68" s="153" t="s">
        <v>964</v>
      </c>
      <c r="D68" s="1084">
        <v>17041751.78</v>
      </c>
      <c r="E68" s="1084">
        <v>16631299.34</v>
      </c>
      <c r="F68" s="1084"/>
      <c r="G68" s="1084"/>
      <c r="H68" s="1084"/>
      <c r="I68" s="1084"/>
      <c r="J68" s="1225"/>
      <c r="K68" s="1225"/>
      <c r="L68" s="1084">
        <f>SUM(L7:L60)</f>
        <v>0</v>
      </c>
      <c r="O68" s="1244"/>
    </row>
    <row r="69" spans="1:15" s="125" customFormat="1" ht="12.75" hidden="1">
      <c r="A69" s="1224"/>
      <c r="B69" s="1224"/>
      <c r="C69" s="153" t="s">
        <v>1445</v>
      </c>
      <c r="D69" s="1084">
        <f>D64-D68</f>
        <v>-403759.22000000067</v>
      </c>
      <c r="E69" s="1084">
        <f>E64-E68</f>
        <v>-375870.4299999997</v>
      </c>
      <c r="F69" s="1084"/>
      <c r="G69" s="1084"/>
      <c r="H69" s="1084"/>
      <c r="I69" s="1287"/>
      <c r="J69" s="1225"/>
      <c r="K69" s="1225"/>
      <c r="O69" s="1244"/>
    </row>
    <row r="70" spans="4:9" ht="12.75">
      <c r="D70" s="477"/>
      <c r="E70" s="477"/>
      <c r="F70" s="477"/>
      <c r="G70" s="506"/>
      <c r="H70" s="477"/>
      <c r="I70" s="528"/>
    </row>
    <row r="71" spans="4:9" ht="12.75">
      <c r="D71" s="530"/>
      <c r="E71" s="530"/>
      <c r="F71" s="527"/>
      <c r="G71" s="529"/>
      <c r="H71" s="530"/>
      <c r="I71" s="528"/>
    </row>
    <row r="72" spans="4:9" ht="12.75">
      <c r="D72" s="530"/>
      <c r="E72" s="530"/>
      <c r="F72" s="527"/>
      <c r="G72" s="529"/>
      <c r="H72" s="530"/>
      <c r="I72" s="528"/>
    </row>
    <row r="73" spans="4:9" ht="12.75">
      <c r="D73" s="530"/>
      <c r="E73" s="531"/>
      <c r="F73" s="527"/>
      <c r="G73" s="529"/>
      <c r="H73" s="530"/>
      <c r="I73" s="528"/>
    </row>
    <row r="74" spans="4:9" ht="12.75">
      <c r="D74" s="530"/>
      <c r="E74" s="531"/>
      <c r="F74" s="527"/>
      <c r="G74" s="529"/>
      <c r="H74" s="530"/>
      <c r="I74" s="528"/>
    </row>
    <row r="75" spans="4:9" ht="12.75">
      <c r="D75" s="530"/>
      <c r="E75" s="530"/>
      <c r="F75" s="527"/>
      <c r="G75" s="529"/>
      <c r="H75" s="530"/>
      <c r="I75" s="528"/>
    </row>
    <row r="76" spans="4:9" ht="12.75">
      <c r="D76" s="530"/>
      <c r="E76" s="530"/>
      <c r="F76" s="527"/>
      <c r="G76" s="529"/>
      <c r="H76" s="530"/>
      <c r="I76" s="528"/>
    </row>
    <row r="77" spans="4:9" ht="12.75">
      <c r="D77" s="530"/>
      <c r="E77" s="530"/>
      <c r="F77" s="527"/>
      <c r="G77" s="529"/>
      <c r="H77" s="530"/>
      <c r="I77" s="528"/>
    </row>
    <row r="78" spans="4:9" ht="12.75">
      <c r="D78" s="530"/>
      <c r="E78" s="530"/>
      <c r="F78" s="527"/>
      <c r="G78" s="529"/>
      <c r="H78" s="530"/>
      <c r="I78" s="528"/>
    </row>
    <row r="79" spans="4:9" ht="12.75">
      <c r="D79" s="530"/>
      <c r="E79" s="530"/>
      <c r="F79" s="527"/>
      <c r="G79" s="529"/>
      <c r="H79" s="530"/>
      <c r="I79" s="528"/>
    </row>
    <row r="80" spans="4:9" ht="12.75">
      <c r="D80" s="530"/>
      <c r="E80" s="530"/>
      <c r="F80" s="527"/>
      <c r="G80" s="529"/>
      <c r="H80" s="530"/>
      <c r="I80" s="528"/>
    </row>
    <row r="81" spans="4:9" ht="12.75">
      <c r="D81" s="530"/>
      <c r="E81" s="530"/>
      <c r="F81" s="527"/>
      <c r="G81" s="529"/>
      <c r="H81" s="530"/>
      <c r="I81" s="528"/>
    </row>
    <row r="82" spans="4:9" ht="12.75">
      <c r="D82" s="530"/>
      <c r="E82" s="530"/>
      <c r="F82" s="527"/>
      <c r="G82" s="529"/>
      <c r="H82" s="530"/>
      <c r="I82" s="528"/>
    </row>
    <row r="83" spans="4:9" ht="12.75">
      <c r="D83" s="530"/>
      <c r="E83" s="530"/>
      <c r="F83" s="527"/>
      <c r="G83" s="529"/>
      <c r="H83" s="530"/>
      <c r="I83" s="528"/>
    </row>
    <row r="84" spans="4:9" ht="12.75">
      <c r="D84" s="530"/>
      <c r="E84" s="530"/>
      <c r="F84" s="527"/>
      <c r="G84" s="529"/>
      <c r="H84" s="530"/>
      <c r="I84" s="528"/>
    </row>
    <row r="85" spans="4:9" ht="12.75">
      <c r="D85" s="530"/>
      <c r="E85" s="530"/>
      <c r="F85" s="527"/>
      <c r="G85" s="529"/>
      <c r="H85" s="530"/>
      <c r="I85" s="528"/>
    </row>
    <row r="86" spans="4:9" ht="12.75">
      <c r="D86" s="530"/>
      <c r="E86" s="530"/>
      <c r="F86" s="527"/>
      <c r="G86" s="529"/>
      <c r="H86" s="530"/>
      <c r="I86" s="528"/>
    </row>
    <row r="87" spans="4:9" ht="12.75">
      <c r="D87" s="530"/>
      <c r="E87" s="530"/>
      <c r="F87" s="527"/>
      <c r="G87" s="529"/>
      <c r="H87" s="530"/>
      <c r="I87" s="528"/>
    </row>
    <row r="88" spans="4:9" ht="12.75">
      <c r="D88" s="530"/>
      <c r="E88" s="530"/>
      <c r="F88" s="527"/>
      <c r="G88" s="529"/>
      <c r="H88" s="530"/>
      <c r="I88" s="528"/>
    </row>
    <row r="89" ht="12.75">
      <c r="I89" s="528"/>
    </row>
    <row r="90" ht="12.75">
      <c r="I90" s="528"/>
    </row>
    <row r="91" ht="12.75">
      <c r="I91" s="528"/>
    </row>
    <row r="92" ht="12.75">
      <c r="I92" s="528"/>
    </row>
    <row r="93" ht="12.75">
      <c r="I93" s="528"/>
    </row>
    <row r="94" ht="12.75">
      <c r="I94" s="528"/>
    </row>
    <row r="95" ht="12.75">
      <c r="I95" s="528"/>
    </row>
    <row r="96" ht="12.75">
      <c r="I96" s="528"/>
    </row>
    <row r="97" ht="12.75">
      <c r="I97" s="528"/>
    </row>
    <row r="98" ht="12.75">
      <c r="I98" s="528"/>
    </row>
    <row r="99" ht="12.75">
      <c r="I99" s="528"/>
    </row>
    <row r="100" ht="12.75">
      <c r="I100" s="528"/>
    </row>
    <row r="101" ht="12.75">
      <c r="I101" s="528"/>
    </row>
    <row r="102" ht="12.75">
      <c r="I102" s="528"/>
    </row>
    <row r="103" ht="12.75">
      <c r="I103" s="528"/>
    </row>
    <row r="104" ht="12.75">
      <c r="I104" s="528"/>
    </row>
    <row r="105" ht="12.75">
      <c r="I105" s="528"/>
    </row>
    <row r="106" ht="12.75">
      <c r="I106" s="528"/>
    </row>
    <row r="107" ht="12.75">
      <c r="I107" s="528"/>
    </row>
    <row r="108" ht="12.75">
      <c r="I108" s="528"/>
    </row>
    <row r="109" ht="12.75">
      <c r="I109" s="528"/>
    </row>
    <row r="110" ht="12.75">
      <c r="I110" s="528"/>
    </row>
    <row r="111" ht="12.75">
      <c r="I111" s="528"/>
    </row>
    <row r="112" ht="12.75">
      <c r="I112" s="528"/>
    </row>
    <row r="113" ht="12.75">
      <c r="I113" s="528"/>
    </row>
    <row r="114" ht="12.75">
      <c r="I114" s="528"/>
    </row>
    <row r="115" ht="12.75">
      <c r="I115" s="528"/>
    </row>
    <row r="116" ht="12.75">
      <c r="I116" s="528"/>
    </row>
    <row r="117" ht="12.75">
      <c r="I117" s="528"/>
    </row>
    <row r="118" ht="12.75">
      <c r="I118" s="528"/>
    </row>
    <row r="119" ht="12.75">
      <c r="I119" s="528"/>
    </row>
    <row r="120" ht="12.75">
      <c r="I120" s="528"/>
    </row>
    <row r="121" ht="12.75">
      <c r="I121" s="528"/>
    </row>
    <row r="122" ht="12.75">
      <c r="I122" s="528"/>
    </row>
    <row r="123" ht="12.75">
      <c r="I123" s="528"/>
    </row>
    <row r="124" ht="12.75">
      <c r="I124" s="528"/>
    </row>
    <row r="125" ht="12.75">
      <c r="I125" s="528"/>
    </row>
    <row r="126" ht="12.75">
      <c r="I126" s="528"/>
    </row>
    <row r="127" ht="12.75">
      <c r="I127" s="528"/>
    </row>
    <row r="128" ht="12.75">
      <c r="I128" s="528"/>
    </row>
    <row r="129" ht="12.75">
      <c r="I129" s="528"/>
    </row>
    <row r="130" ht="12.75">
      <c r="I130" s="528"/>
    </row>
    <row r="131" ht="12.75">
      <c r="I131" s="528"/>
    </row>
    <row r="132" ht="12.75">
      <c r="I132" s="528"/>
    </row>
    <row r="133" ht="12.75">
      <c r="I133" s="528"/>
    </row>
    <row r="134" ht="12.75">
      <c r="I134" s="528"/>
    </row>
    <row r="135" ht="12.75">
      <c r="I135" s="528"/>
    </row>
    <row r="136" ht="12.75">
      <c r="I136" s="528"/>
    </row>
    <row r="137" ht="12.75">
      <c r="I137" s="528"/>
    </row>
    <row r="138" ht="12.75">
      <c r="I138" s="528"/>
    </row>
    <row r="139" ht="12.75">
      <c r="I139" s="528"/>
    </row>
    <row r="140" ht="12.75">
      <c r="I140" s="528"/>
    </row>
    <row r="141" ht="12.75">
      <c r="I141" s="528"/>
    </row>
    <row r="142" ht="12.75">
      <c r="I142" s="528"/>
    </row>
    <row r="143" ht="12.75">
      <c r="I143" s="528"/>
    </row>
    <row r="144" ht="12.75">
      <c r="I144" s="528"/>
    </row>
    <row r="145" ht="12.75">
      <c r="I145" s="528"/>
    </row>
    <row r="146" ht="12.75">
      <c r="I146" s="528"/>
    </row>
    <row r="147" ht="12.75">
      <c r="I147" s="528"/>
    </row>
    <row r="148" ht="12.75">
      <c r="I148" s="528"/>
    </row>
    <row r="149" ht="12.75">
      <c r="I149" s="528"/>
    </row>
    <row r="150" ht="12.75">
      <c r="I150" s="528"/>
    </row>
    <row r="151" ht="12.75">
      <c r="I151" s="528"/>
    </row>
    <row r="152" ht="12.75">
      <c r="I152" s="528"/>
    </row>
    <row r="153" ht="12.75">
      <c r="I153" s="528"/>
    </row>
    <row r="154" ht="12.75">
      <c r="I154" s="528"/>
    </row>
    <row r="155" ht="12.75">
      <c r="I155" s="528"/>
    </row>
    <row r="156" ht="12.75">
      <c r="I156" s="528"/>
    </row>
    <row r="157" ht="12.75">
      <c r="I157" s="528"/>
    </row>
    <row r="158" ht="12.75">
      <c r="I158" s="528"/>
    </row>
    <row r="159" ht="12.75">
      <c r="I159" s="528"/>
    </row>
    <row r="160" ht="12.75">
      <c r="I160" s="528"/>
    </row>
    <row r="161" ht="12.75">
      <c r="I161" s="528"/>
    </row>
    <row r="162" ht="12.75">
      <c r="I162" s="528"/>
    </row>
    <row r="163" ht="12.75">
      <c r="I163" s="528"/>
    </row>
    <row r="164" ht="12.75">
      <c r="I164" s="528"/>
    </row>
    <row r="165" ht="12.75">
      <c r="I165" s="528"/>
    </row>
    <row r="166" ht="12.75">
      <c r="I166" s="528"/>
    </row>
    <row r="167" ht="12.75">
      <c r="I167" s="528"/>
    </row>
    <row r="168" ht="12.75">
      <c r="I168" s="528"/>
    </row>
    <row r="169" ht="12.75">
      <c r="I169" s="528"/>
    </row>
    <row r="170" ht="12.75">
      <c r="I170" s="528"/>
    </row>
    <row r="171" ht="12.75">
      <c r="I171" s="528"/>
    </row>
    <row r="172" ht="12.75">
      <c r="I172" s="528"/>
    </row>
    <row r="173" ht="12.75">
      <c r="I173" s="528"/>
    </row>
    <row r="174" ht="12.75">
      <c r="I174" s="528"/>
    </row>
    <row r="175" ht="12.75">
      <c r="I175" s="528"/>
    </row>
    <row r="176" ht="12.75">
      <c r="I176" s="528"/>
    </row>
    <row r="177" ht="12.75">
      <c r="I177" s="528"/>
    </row>
    <row r="178" ht="12.75">
      <c r="I178" s="528"/>
    </row>
    <row r="179" ht="12.75">
      <c r="I179" s="528"/>
    </row>
    <row r="180" ht="12.75">
      <c r="I180" s="528"/>
    </row>
  </sheetData>
  <sheetProtection password="CF53" sheet="1" formatRows="0" insertColumns="0" insertRows="0" insertHyperlinks="0" deleteColumns="0" deleteRows="0" sort="0" autoFilter="0" pivotTables="0"/>
  <mergeCells count="12">
    <mergeCell ref="A4:A5"/>
    <mergeCell ref="B4:B5"/>
    <mergeCell ref="C4:C5"/>
    <mergeCell ref="A2:I2"/>
    <mergeCell ref="K5:K6"/>
    <mergeCell ref="J5:J6"/>
    <mergeCell ref="H1:I1"/>
    <mergeCell ref="A65:I65"/>
    <mergeCell ref="A64:C64"/>
    <mergeCell ref="H3:I3"/>
    <mergeCell ref="D4:F4"/>
    <mergeCell ref="G4:I4"/>
  </mergeCells>
  <printOptions/>
  <pageMargins left="0.5905511811023623" right="0.3937007874015748" top="0.984251968503937" bottom="0.7874015748031497" header="0.5118110236220472" footer="0.5118110236220472"/>
  <pageSetup horizontalDpi="600" verticalDpi="600" orientation="portrait" paperSize="9" scale="82" r:id="rId1"/>
  <rowBreaks count="1" manualBreakCount="1">
    <brk id="34" max="14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L80"/>
  <sheetViews>
    <sheetView defaultGridColor="0" view="pageBreakPreview" zoomScaleSheetLayoutView="100" zoomScalePageLayoutView="0" colorId="8" workbookViewId="0" topLeftCell="A1">
      <pane ySplit="9" topLeftCell="A70" activePane="bottomLeft" state="frozen"/>
      <selection pane="topLeft" activeCell="I244" sqref="I244"/>
      <selection pane="bottomLeft" activeCell="D65" sqref="D65"/>
    </sheetView>
  </sheetViews>
  <sheetFormatPr defaultColWidth="9.00390625" defaultRowHeight="12.75"/>
  <cols>
    <col min="1" max="1" width="12.25390625" style="368" customWidth="1"/>
    <col min="2" max="2" width="9.625" style="368" customWidth="1"/>
    <col min="3" max="3" width="12.125" style="357" customWidth="1"/>
    <col min="4" max="5" width="13.125" style="357" customWidth="1"/>
    <col min="6" max="6" width="13.75390625" style="357" customWidth="1"/>
    <col min="7" max="7" width="12.125" style="357" customWidth="1"/>
    <col min="8" max="8" width="11.125" style="357" customWidth="1"/>
    <col min="9" max="9" width="11.00390625" style="357" customWidth="1"/>
    <col min="10" max="10" width="12.25390625" style="357" customWidth="1"/>
    <col min="11" max="11" width="11.00390625" style="357" customWidth="1"/>
    <col min="12" max="12" width="15.125" style="357" hidden="1" customWidth="1"/>
    <col min="13" max="16384" width="9.125" style="357" customWidth="1"/>
  </cols>
  <sheetData>
    <row r="1" spans="1:12" s="97" customFormat="1" ht="12.75">
      <c r="A1" s="1151"/>
      <c r="B1" s="1151"/>
      <c r="C1" s="1175"/>
      <c r="D1" s="1175"/>
      <c r="E1" s="1175"/>
      <c r="F1" s="1175"/>
      <c r="G1" s="1175"/>
      <c r="H1" s="1175"/>
      <c r="I1" s="1175"/>
      <c r="J1" s="1175"/>
      <c r="K1" s="1105" t="s">
        <v>182</v>
      </c>
      <c r="L1" s="118"/>
    </row>
    <row r="2" spans="1:11" s="97" customFormat="1" ht="21" customHeight="1" hidden="1">
      <c r="A2" s="1151"/>
      <c r="B2" s="1151"/>
      <c r="C2" s="1175"/>
      <c r="D2" s="1175"/>
      <c r="E2" s="1175"/>
      <c r="F2" s="1175"/>
      <c r="G2" s="1175"/>
      <c r="H2" s="1175"/>
      <c r="I2" s="1175"/>
      <c r="J2" s="1175"/>
      <c r="K2" s="1175"/>
    </row>
    <row r="3" spans="1:11" s="97" customFormat="1" ht="25.5" customHeight="1">
      <c r="A3" s="1999" t="s">
        <v>1217</v>
      </c>
      <c r="B3" s="1999"/>
      <c r="C3" s="1999"/>
      <c r="D3" s="1999"/>
      <c r="E3" s="1999"/>
      <c r="F3" s="1999"/>
      <c r="G3" s="1999"/>
      <c r="H3" s="1999"/>
      <c r="I3" s="1999"/>
      <c r="J3" s="1999"/>
      <c r="K3" s="1999"/>
    </row>
    <row r="4" spans="1:11" s="97" customFormat="1" ht="12" customHeight="1" thickBot="1">
      <c r="A4" s="1151"/>
      <c r="B4" s="1151"/>
      <c r="C4" s="1175"/>
      <c r="D4" s="1175"/>
      <c r="E4" s="1175"/>
      <c r="F4" s="1175"/>
      <c r="G4" s="1175"/>
      <c r="H4" s="1175"/>
      <c r="I4" s="1175"/>
      <c r="J4" s="1175"/>
      <c r="K4" s="810" t="s">
        <v>208</v>
      </c>
    </row>
    <row r="5" spans="1:11" s="100" customFormat="1" ht="17.25" customHeight="1">
      <c r="A5" s="2072" t="s">
        <v>210</v>
      </c>
      <c r="B5" s="2054" t="s">
        <v>209</v>
      </c>
      <c r="C5" s="2053" t="s">
        <v>734</v>
      </c>
      <c r="D5" s="2053" t="s">
        <v>75</v>
      </c>
      <c r="E5" s="2053" t="s">
        <v>1234</v>
      </c>
      <c r="F5" s="2053"/>
      <c r="G5" s="2053"/>
      <c r="H5" s="2053"/>
      <c r="I5" s="2053"/>
      <c r="J5" s="2075"/>
      <c r="K5" s="2076"/>
    </row>
    <row r="6" spans="1:12" s="100" customFormat="1" ht="17.25" customHeight="1">
      <c r="A6" s="1969"/>
      <c r="B6" s="1971"/>
      <c r="C6" s="1973"/>
      <c r="D6" s="1973"/>
      <c r="E6" s="2069" t="s">
        <v>709</v>
      </c>
      <c r="F6" s="2060" t="s">
        <v>981</v>
      </c>
      <c r="G6" s="2061"/>
      <c r="H6" s="2061"/>
      <c r="I6" s="2061"/>
      <c r="J6" s="2062"/>
      <c r="K6" s="2064" t="s">
        <v>735</v>
      </c>
      <c r="L6" s="2070" t="s">
        <v>970</v>
      </c>
    </row>
    <row r="7" spans="1:12" s="100" customFormat="1" ht="26.25" customHeight="1">
      <c r="A7" s="2073"/>
      <c r="B7" s="2074"/>
      <c r="C7" s="2074"/>
      <c r="D7" s="2063"/>
      <c r="E7" s="2077"/>
      <c r="F7" s="2063" t="s">
        <v>74</v>
      </c>
      <c r="G7" s="2063"/>
      <c r="H7" s="2063" t="s">
        <v>71</v>
      </c>
      <c r="I7" s="2067" t="s">
        <v>72</v>
      </c>
      <c r="J7" s="2069" t="s">
        <v>73</v>
      </c>
      <c r="K7" s="2065"/>
      <c r="L7" s="2070"/>
    </row>
    <row r="8" spans="1:11" s="100" customFormat="1" ht="63" customHeight="1">
      <c r="A8" s="2073"/>
      <c r="B8" s="2074"/>
      <c r="C8" s="2074"/>
      <c r="D8" s="2063"/>
      <c r="E8" s="1973"/>
      <c r="F8" s="1179" t="s">
        <v>406</v>
      </c>
      <c r="G8" s="1179" t="s">
        <v>70</v>
      </c>
      <c r="H8" s="2063"/>
      <c r="I8" s="2068"/>
      <c r="J8" s="1973"/>
      <c r="K8" s="2066"/>
    </row>
    <row r="9" spans="1:11" s="97" customFormat="1" ht="14.25" customHeight="1">
      <c r="A9" s="591">
        <v>1</v>
      </c>
      <c r="B9" s="584">
        <v>2</v>
      </c>
      <c r="C9" s="584">
        <v>3</v>
      </c>
      <c r="D9" s="584">
        <v>4</v>
      </c>
      <c r="E9" s="584">
        <v>5</v>
      </c>
      <c r="F9" s="584">
        <v>6</v>
      </c>
      <c r="G9" s="584">
        <v>7</v>
      </c>
      <c r="H9" s="584">
        <v>8</v>
      </c>
      <c r="I9" s="584">
        <v>9</v>
      </c>
      <c r="J9" s="584">
        <v>10</v>
      </c>
      <c r="K9" s="1180">
        <v>11</v>
      </c>
    </row>
    <row r="10" spans="1:11" s="1183" customFormat="1" ht="19.5" customHeight="1">
      <c r="A10" s="1177" t="s">
        <v>211</v>
      </c>
      <c r="B10" s="818" t="s">
        <v>831</v>
      </c>
      <c r="C10" s="1181">
        <f>SUM(C12,C14,C16,C18,C20,C22,C24,C26,C28,C30,C32,C34,C36,C38)</f>
        <v>6683387.57</v>
      </c>
      <c r="D10" s="1181">
        <f>SUM(D12,D14,D16,D18,D20,D22,D24,D26,D28,D30,D32,D34,D36,D38)</f>
        <v>6683387.57</v>
      </c>
      <c r="E10" s="1181">
        <f aca="true" t="shared" si="0" ref="E10:K10">SUM(E12,E14,E16,E18,E20,E22,E24,E26,E28,E30,E32,E34,E36,E38)</f>
        <v>6683387.57</v>
      </c>
      <c r="F10" s="1181">
        <f t="shared" si="0"/>
        <v>890620</v>
      </c>
      <c r="G10" s="1181">
        <f t="shared" si="0"/>
        <v>66732.57</v>
      </c>
      <c r="H10" s="1181">
        <f t="shared" si="0"/>
        <v>198740</v>
      </c>
      <c r="I10" s="1181">
        <f t="shared" si="0"/>
        <v>5527295</v>
      </c>
      <c r="J10" s="1181">
        <f t="shared" si="0"/>
        <v>0</v>
      </c>
      <c r="K10" s="1182">
        <f t="shared" si="0"/>
        <v>0</v>
      </c>
    </row>
    <row r="11" spans="1:11" s="97" customFormat="1" ht="19.5" customHeight="1">
      <c r="A11" s="1184" t="s">
        <v>212</v>
      </c>
      <c r="B11" s="1185" t="s">
        <v>831</v>
      </c>
      <c r="C11" s="1186">
        <f>SUM(C13,C15,C17,C19,C21,C23,C25,C27,C29,C31,C33,C35,C37,C39)</f>
        <v>6485785.619999999</v>
      </c>
      <c r="D11" s="1186">
        <f aca="true" t="shared" si="1" ref="D11:K11">SUM(D13,D15,D17,D19,D21,D23,D25,D27,D29,D31,D33,D35,D37,D39)</f>
        <v>6485785.619999999</v>
      </c>
      <c r="E11" s="1186">
        <f t="shared" si="1"/>
        <v>6485785.619999999</v>
      </c>
      <c r="F11" s="1186">
        <f t="shared" si="1"/>
        <v>872317.5900000001</v>
      </c>
      <c r="G11" s="1186">
        <f t="shared" si="1"/>
        <v>65535.54</v>
      </c>
      <c r="H11" s="1186">
        <f t="shared" si="1"/>
        <v>190380</v>
      </c>
      <c r="I11" s="1186">
        <f t="shared" si="1"/>
        <v>5357552.49</v>
      </c>
      <c r="J11" s="1186">
        <f t="shared" si="1"/>
        <v>0</v>
      </c>
      <c r="K11" s="1187">
        <f t="shared" si="1"/>
        <v>0</v>
      </c>
    </row>
    <row r="12" spans="1:11" s="1183" customFormat="1" ht="19.5" customHeight="1">
      <c r="A12" s="1188" t="s">
        <v>211</v>
      </c>
      <c r="B12" s="1189" t="s">
        <v>1701</v>
      </c>
      <c r="C12" s="1190">
        <f>SUM(6DOCHODY!E10)</f>
        <v>37123.57</v>
      </c>
      <c r="D12" s="1190">
        <f aca="true" t="shared" si="2" ref="D12:D29">SUM(E12,K12)</f>
        <v>37123.57</v>
      </c>
      <c r="E12" s="1190">
        <f aca="true" t="shared" si="3" ref="E12:E17">SUM(F12,G12,H12,I12,J12)</f>
        <v>37123.57</v>
      </c>
      <c r="F12" s="1190">
        <v>0</v>
      </c>
      <c r="G12" s="1190">
        <v>37123.57</v>
      </c>
      <c r="H12" s="1190">
        <v>0</v>
      </c>
      <c r="I12" s="1190">
        <v>0</v>
      </c>
      <c r="J12" s="1191">
        <v>0</v>
      </c>
      <c r="K12" s="1192">
        <v>0</v>
      </c>
    </row>
    <row r="13" spans="1:11" s="97" customFormat="1" ht="19.5" customHeight="1">
      <c r="A13" s="591" t="s">
        <v>212</v>
      </c>
      <c r="B13" s="1127" t="s">
        <v>1701</v>
      </c>
      <c r="C13" s="1096">
        <f>SUM(6DOCHODY!F10)</f>
        <v>37123.57</v>
      </c>
      <c r="D13" s="1096">
        <f t="shared" si="2"/>
        <v>37123.57</v>
      </c>
      <c r="E13" s="1122">
        <f t="shared" si="3"/>
        <v>37123.57</v>
      </c>
      <c r="F13" s="1096">
        <v>0</v>
      </c>
      <c r="G13" s="1096">
        <v>37123.57</v>
      </c>
      <c r="H13" s="1096">
        <v>0</v>
      </c>
      <c r="I13" s="1096">
        <v>0</v>
      </c>
      <c r="J13" s="1193">
        <v>0</v>
      </c>
      <c r="K13" s="1194">
        <v>0</v>
      </c>
    </row>
    <row r="14" spans="1:11" s="1183" customFormat="1" ht="19.5" customHeight="1">
      <c r="A14" s="1188" t="s">
        <v>211</v>
      </c>
      <c r="B14" s="1195">
        <v>75011</v>
      </c>
      <c r="C14" s="1190">
        <f>SUM(6DOCHODY!E106)</f>
        <v>366200</v>
      </c>
      <c r="D14" s="1190">
        <f t="shared" si="2"/>
        <v>366200</v>
      </c>
      <c r="E14" s="1190">
        <f t="shared" si="3"/>
        <v>366200</v>
      </c>
      <c r="F14" s="1190">
        <v>366200</v>
      </c>
      <c r="G14" s="1190">
        <v>0</v>
      </c>
      <c r="H14" s="1190">
        <v>0</v>
      </c>
      <c r="I14" s="1190">
        <v>0</v>
      </c>
      <c r="J14" s="1191">
        <v>0</v>
      </c>
      <c r="K14" s="1192">
        <v>0</v>
      </c>
    </row>
    <row r="15" spans="1:11" s="97" customFormat="1" ht="19.5" customHeight="1">
      <c r="A15" s="591" t="s">
        <v>212</v>
      </c>
      <c r="B15" s="584">
        <v>75011</v>
      </c>
      <c r="C15" s="1096">
        <f>SUM(6DOCHODY!F106)</f>
        <v>366199.49</v>
      </c>
      <c r="D15" s="1096">
        <f t="shared" si="2"/>
        <v>366199.49</v>
      </c>
      <c r="E15" s="1122">
        <f t="shared" si="3"/>
        <v>366199.49</v>
      </c>
      <c r="F15" s="1096">
        <v>366199.49</v>
      </c>
      <c r="G15" s="1096">
        <v>0</v>
      </c>
      <c r="H15" s="1096">
        <v>0</v>
      </c>
      <c r="I15" s="1096">
        <v>0</v>
      </c>
      <c r="J15" s="1193">
        <v>0</v>
      </c>
      <c r="K15" s="1194">
        <v>0</v>
      </c>
    </row>
    <row r="16" spans="1:11" s="534" customFormat="1" ht="19.5" customHeight="1" hidden="1">
      <c r="A16" s="537" t="s">
        <v>211</v>
      </c>
      <c r="B16" s="543">
        <v>75056</v>
      </c>
      <c r="C16" s="539">
        <f>SUM(6DOCHODY!E117)</f>
        <v>0</v>
      </c>
      <c r="D16" s="539">
        <f>SUM(E16,K16)</f>
        <v>0</v>
      </c>
      <c r="E16" s="539">
        <f t="shared" si="3"/>
        <v>0</v>
      </c>
      <c r="F16" s="539">
        <v>0</v>
      </c>
      <c r="G16" s="539">
        <v>0</v>
      </c>
      <c r="H16" s="539">
        <v>0</v>
      </c>
      <c r="I16" s="539">
        <v>0</v>
      </c>
      <c r="J16" s="540">
        <v>0</v>
      </c>
      <c r="K16" s="541">
        <v>0</v>
      </c>
    </row>
    <row r="17" spans="1:11" ht="19.5" customHeight="1" hidden="1">
      <c r="A17" s="372" t="s">
        <v>212</v>
      </c>
      <c r="B17" s="370">
        <v>75056</v>
      </c>
      <c r="C17" s="479">
        <f>SUM(6DOCHODY!F117)</f>
        <v>0</v>
      </c>
      <c r="D17" s="479">
        <f>SUM(E17,K17)</f>
        <v>0</v>
      </c>
      <c r="E17" s="487">
        <f t="shared" si="3"/>
        <v>0</v>
      </c>
      <c r="F17" s="479">
        <v>0</v>
      </c>
      <c r="G17" s="479">
        <v>0</v>
      </c>
      <c r="H17" s="479">
        <v>0</v>
      </c>
      <c r="I17" s="479">
        <v>0</v>
      </c>
      <c r="J17" s="490">
        <v>0</v>
      </c>
      <c r="K17" s="542">
        <v>0</v>
      </c>
    </row>
    <row r="18" spans="1:11" s="1183" customFormat="1" ht="19.5" customHeight="1">
      <c r="A18" s="1188" t="s">
        <v>211</v>
      </c>
      <c r="B18" s="1195">
        <v>75101</v>
      </c>
      <c r="C18" s="1190">
        <f>SUM(6DOCHODY!E138)</f>
        <v>7164</v>
      </c>
      <c r="D18" s="1190">
        <f t="shared" si="2"/>
        <v>7164</v>
      </c>
      <c r="E18" s="1190">
        <f aca="true" t="shared" si="4" ref="E18:E35">SUM(F18,G18,H18,I18,J18)</f>
        <v>7164</v>
      </c>
      <c r="F18" s="1190">
        <v>7164</v>
      </c>
      <c r="G18" s="1190">
        <v>0</v>
      </c>
      <c r="H18" s="1190">
        <v>0</v>
      </c>
      <c r="I18" s="1190">
        <v>0</v>
      </c>
      <c r="J18" s="1191">
        <v>0</v>
      </c>
      <c r="K18" s="1192">
        <v>0</v>
      </c>
    </row>
    <row r="19" spans="1:11" s="1200" customFormat="1" ht="19.5" customHeight="1">
      <c r="A19" s="591" t="s">
        <v>212</v>
      </c>
      <c r="B19" s="1196">
        <v>75101</v>
      </c>
      <c r="C19" s="1122">
        <f>SUM(6DOCHODY!F138)</f>
        <v>7162.7</v>
      </c>
      <c r="D19" s="1197">
        <f t="shared" si="2"/>
        <v>7162.7</v>
      </c>
      <c r="E19" s="1122">
        <f t="shared" si="4"/>
        <v>7162.7</v>
      </c>
      <c r="F19" s="1197">
        <v>7162.7</v>
      </c>
      <c r="G19" s="1197">
        <v>0</v>
      </c>
      <c r="H19" s="1197">
        <v>0</v>
      </c>
      <c r="I19" s="1197">
        <v>0</v>
      </c>
      <c r="J19" s="1198">
        <v>0</v>
      </c>
      <c r="K19" s="1199">
        <v>0</v>
      </c>
    </row>
    <row r="20" spans="1:11" s="534" customFormat="1" ht="19.5" customHeight="1" hidden="1">
      <c r="A20" s="537" t="s">
        <v>211</v>
      </c>
      <c r="B20" s="543">
        <v>75108</v>
      </c>
      <c r="C20" s="539">
        <f>6DOCHODY!E140</f>
        <v>0</v>
      </c>
      <c r="D20" s="539">
        <f>SUM(E20,K20)</f>
        <v>0</v>
      </c>
      <c r="E20" s="539">
        <f>SUM(F20,G20,H20,I20,J20)</f>
        <v>0</v>
      </c>
      <c r="F20" s="539">
        <v>0</v>
      </c>
      <c r="G20" s="539">
        <v>0</v>
      </c>
      <c r="H20" s="539">
        <v>0</v>
      </c>
      <c r="I20" s="539">
        <v>0</v>
      </c>
      <c r="J20" s="540">
        <v>0</v>
      </c>
      <c r="K20" s="541">
        <v>0</v>
      </c>
    </row>
    <row r="21" spans="1:11" s="548" customFormat="1" ht="19.5" customHeight="1" hidden="1">
      <c r="A21" s="372" t="s">
        <v>212</v>
      </c>
      <c r="B21" s="544">
        <v>75108</v>
      </c>
      <c r="C21" s="487">
        <f>6DOCHODY!F140</f>
        <v>0</v>
      </c>
      <c r="D21" s="545">
        <f>SUM(E21,K21)</f>
        <v>0</v>
      </c>
      <c r="E21" s="487">
        <f>SUM(F21,G21,H21,I21,J21)</f>
        <v>0</v>
      </c>
      <c r="F21" s="545">
        <v>0</v>
      </c>
      <c r="G21" s="545">
        <v>0</v>
      </c>
      <c r="H21" s="545">
        <v>0</v>
      </c>
      <c r="I21" s="545">
        <v>0</v>
      </c>
      <c r="J21" s="546">
        <v>0</v>
      </c>
      <c r="K21" s="547">
        <v>0</v>
      </c>
    </row>
    <row r="22" spans="1:11" s="1183" customFormat="1" ht="19.5" customHeight="1">
      <c r="A22" s="1204" t="s">
        <v>211</v>
      </c>
      <c r="B22" s="1205">
        <v>85195</v>
      </c>
      <c r="C22" s="1201">
        <f>SUM(6DOCHODY!E270)</f>
        <v>7000</v>
      </c>
      <c r="D22" s="1201">
        <f>SUM(E22,K22)</f>
        <v>7000</v>
      </c>
      <c r="E22" s="1190">
        <f t="shared" si="4"/>
        <v>7000</v>
      </c>
      <c r="F22" s="1201">
        <v>5996</v>
      </c>
      <c r="G22" s="1201">
        <v>1004</v>
      </c>
      <c r="H22" s="1201">
        <v>0</v>
      </c>
      <c r="I22" s="1201">
        <v>0</v>
      </c>
      <c r="J22" s="1202">
        <v>0</v>
      </c>
      <c r="K22" s="1203">
        <v>0</v>
      </c>
    </row>
    <row r="23" spans="1:11" s="97" customFormat="1" ht="19.5" customHeight="1">
      <c r="A23" s="591" t="s">
        <v>212</v>
      </c>
      <c r="B23" s="584">
        <v>85195</v>
      </c>
      <c r="C23" s="1096">
        <f>6DOCHODY!F270</f>
        <v>6420.46</v>
      </c>
      <c r="D23" s="1096">
        <f>SUM(E23,K23)</f>
        <v>6420.46</v>
      </c>
      <c r="E23" s="1122">
        <f t="shared" si="4"/>
        <v>6420.46</v>
      </c>
      <c r="F23" s="1096">
        <v>5435.56</v>
      </c>
      <c r="G23" s="1096">
        <v>984.9</v>
      </c>
      <c r="H23" s="1096">
        <v>0</v>
      </c>
      <c r="I23" s="1096">
        <v>0</v>
      </c>
      <c r="J23" s="1193">
        <v>0</v>
      </c>
      <c r="K23" s="1194">
        <v>0</v>
      </c>
    </row>
    <row r="24" spans="1:11" s="1183" customFormat="1" ht="19.5" customHeight="1">
      <c r="A24" s="1204" t="s">
        <v>211</v>
      </c>
      <c r="B24" s="1205">
        <v>85203</v>
      </c>
      <c r="C24" s="1201">
        <f>SUM(6DOCHODY!E283)</f>
        <v>198740</v>
      </c>
      <c r="D24" s="1201">
        <f t="shared" si="2"/>
        <v>198740</v>
      </c>
      <c r="E24" s="1190">
        <f t="shared" si="4"/>
        <v>198740</v>
      </c>
      <c r="F24" s="1201">
        <v>0</v>
      </c>
      <c r="G24" s="1201">
        <v>0</v>
      </c>
      <c r="H24" s="1201">
        <v>198740</v>
      </c>
      <c r="I24" s="1201">
        <v>0</v>
      </c>
      <c r="J24" s="1202">
        <v>0</v>
      </c>
      <c r="K24" s="1203">
        <v>0</v>
      </c>
    </row>
    <row r="25" spans="1:11" s="97" customFormat="1" ht="19.5" customHeight="1">
      <c r="A25" s="591" t="s">
        <v>212</v>
      </c>
      <c r="B25" s="584">
        <v>85203</v>
      </c>
      <c r="C25" s="1096">
        <f>SUM(6DOCHODY!F283)</f>
        <v>190380</v>
      </c>
      <c r="D25" s="1096">
        <f t="shared" si="2"/>
        <v>190380</v>
      </c>
      <c r="E25" s="1122">
        <f t="shared" si="4"/>
        <v>190380</v>
      </c>
      <c r="F25" s="1096">
        <v>0</v>
      </c>
      <c r="G25" s="1096">
        <v>0</v>
      </c>
      <c r="H25" s="1096">
        <v>190380</v>
      </c>
      <c r="I25" s="1096">
        <v>0</v>
      </c>
      <c r="J25" s="1193">
        <v>0</v>
      </c>
      <c r="K25" s="1194">
        <v>0</v>
      </c>
    </row>
    <row r="26" spans="1:11" s="1183" customFormat="1" ht="19.5" customHeight="1">
      <c r="A26" s="1188" t="s">
        <v>211</v>
      </c>
      <c r="B26" s="1195">
        <v>85212</v>
      </c>
      <c r="C26" s="1190">
        <f>SUM(6DOCHODY!E296)</f>
        <v>5765000</v>
      </c>
      <c r="D26" s="1190">
        <f t="shared" si="2"/>
        <v>5765000</v>
      </c>
      <c r="E26" s="1190">
        <f t="shared" si="4"/>
        <v>5765000</v>
      </c>
      <c r="F26" s="1190">
        <v>383913</v>
      </c>
      <c r="G26" s="1190">
        <v>23838</v>
      </c>
      <c r="H26" s="1190">
        <v>0</v>
      </c>
      <c r="I26" s="1190">
        <v>5357249</v>
      </c>
      <c r="J26" s="1191">
        <v>0</v>
      </c>
      <c r="K26" s="1192">
        <v>0</v>
      </c>
    </row>
    <row r="27" spans="1:11" s="97" customFormat="1" ht="19.5" customHeight="1">
      <c r="A27" s="591" t="s">
        <v>212</v>
      </c>
      <c r="B27" s="584">
        <v>85212</v>
      </c>
      <c r="C27" s="1096">
        <f>SUM(6DOCHODY!F296)</f>
        <v>5585215.54</v>
      </c>
      <c r="D27" s="1096">
        <f t="shared" si="2"/>
        <v>5585215.54</v>
      </c>
      <c r="E27" s="1122">
        <f t="shared" si="4"/>
        <v>5585215.54</v>
      </c>
      <c r="F27" s="1096">
        <v>367897.3</v>
      </c>
      <c r="G27" s="1096">
        <v>22952.61</v>
      </c>
      <c r="H27" s="1096">
        <v>0</v>
      </c>
      <c r="I27" s="1096">
        <v>5194365.63</v>
      </c>
      <c r="J27" s="1193">
        <v>0</v>
      </c>
      <c r="K27" s="1194">
        <v>0</v>
      </c>
    </row>
    <row r="28" spans="1:11" s="1183" customFormat="1" ht="19.5" customHeight="1">
      <c r="A28" s="1188" t="s">
        <v>211</v>
      </c>
      <c r="B28" s="1195">
        <v>85213</v>
      </c>
      <c r="C28" s="1190">
        <f>SUM(6DOCHODY!E301)</f>
        <v>49500</v>
      </c>
      <c r="D28" s="1190">
        <f t="shared" si="2"/>
        <v>49500</v>
      </c>
      <c r="E28" s="1190">
        <f t="shared" si="4"/>
        <v>49500</v>
      </c>
      <c r="F28" s="1190">
        <v>49500</v>
      </c>
      <c r="G28" s="1190">
        <v>0</v>
      </c>
      <c r="H28" s="1190">
        <v>0</v>
      </c>
      <c r="I28" s="1190">
        <v>0</v>
      </c>
      <c r="J28" s="1191">
        <v>0</v>
      </c>
      <c r="K28" s="1192">
        <v>0</v>
      </c>
    </row>
    <row r="29" spans="1:11" s="97" customFormat="1" ht="19.5" customHeight="1">
      <c r="A29" s="591" t="s">
        <v>212</v>
      </c>
      <c r="B29" s="584">
        <v>85213</v>
      </c>
      <c r="C29" s="1096">
        <f>SUM(6DOCHODY!F301)</f>
        <v>48126.85</v>
      </c>
      <c r="D29" s="1096">
        <f t="shared" si="2"/>
        <v>48126.85</v>
      </c>
      <c r="E29" s="1122">
        <f t="shared" si="4"/>
        <v>48126.85</v>
      </c>
      <c r="F29" s="1096">
        <v>48126.85</v>
      </c>
      <c r="G29" s="1096">
        <v>0</v>
      </c>
      <c r="H29" s="1096">
        <v>0</v>
      </c>
      <c r="I29" s="1096">
        <v>0</v>
      </c>
      <c r="J29" s="1193">
        <v>0</v>
      </c>
      <c r="K29" s="1194">
        <v>0</v>
      </c>
    </row>
    <row r="30" spans="1:11" s="534" customFormat="1" ht="19.5" customHeight="1" hidden="1">
      <c r="A30" s="537" t="s">
        <v>211</v>
      </c>
      <c r="B30" s="543">
        <v>85214</v>
      </c>
      <c r="C30" s="539">
        <f>SUM(6DOCHODY!E306)</f>
        <v>0</v>
      </c>
      <c r="D30" s="539">
        <f aca="true" t="shared" si="5" ref="D30:D39">SUM(E30,K30)</f>
        <v>0</v>
      </c>
      <c r="E30" s="539">
        <f t="shared" si="4"/>
        <v>0</v>
      </c>
      <c r="F30" s="539">
        <v>0</v>
      </c>
      <c r="G30" s="539">
        <v>0</v>
      </c>
      <c r="H30" s="539">
        <v>0</v>
      </c>
      <c r="I30" s="539">
        <v>0</v>
      </c>
      <c r="J30" s="540">
        <v>0</v>
      </c>
      <c r="K30" s="541">
        <v>0</v>
      </c>
    </row>
    <row r="31" spans="1:11" ht="19.5" customHeight="1" hidden="1">
      <c r="A31" s="372" t="s">
        <v>212</v>
      </c>
      <c r="B31" s="370">
        <v>85214</v>
      </c>
      <c r="C31" s="479">
        <f>SUM(6DOCHODY!F306)</f>
        <v>0</v>
      </c>
      <c r="D31" s="479">
        <f t="shared" si="5"/>
        <v>0</v>
      </c>
      <c r="E31" s="487">
        <f t="shared" si="4"/>
        <v>0</v>
      </c>
      <c r="F31" s="479">
        <v>0</v>
      </c>
      <c r="G31" s="479">
        <v>0</v>
      </c>
      <c r="H31" s="479">
        <v>0</v>
      </c>
      <c r="I31" s="479">
        <v>0</v>
      </c>
      <c r="J31" s="490">
        <v>0</v>
      </c>
      <c r="K31" s="542">
        <v>0</v>
      </c>
    </row>
    <row r="32" spans="1:11" s="1183" customFormat="1" ht="19.5" customHeight="1">
      <c r="A32" s="1188" t="s">
        <v>211</v>
      </c>
      <c r="B32" s="1195">
        <v>85219</v>
      </c>
      <c r="C32" s="1190">
        <f>6DOCHODY!E317</f>
        <v>10150</v>
      </c>
      <c r="D32" s="1190">
        <f>SUM(E32,K32)</f>
        <v>10150</v>
      </c>
      <c r="E32" s="1190">
        <f>SUM(F32,G32,H32,I32,J32)</f>
        <v>10150</v>
      </c>
      <c r="F32" s="1190">
        <v>0</v>
      </c>
      <c r="G32" s="1190">
        <v>150</v>
      </c>
      <c r="H32" s="1190">
        <v>0</v>
      </c>
      <c r="I32" s="1190">
        <v>10000</v>
      </c>
      <c r="J32" s="1191">
        <v>0</v>
      </c>
      <c r="K32" s="1192">
        <v>0</v>
      </c>
    </row>
    <row r="33" spans="1:11" s="97" customFormat="1" ht="19.5" customHeight="1">
      <c r="A33" s="591" t="s">
        <v>212</v>
      </c>
      <c r="B33" s="584">
        <v>85219</v>
      </c>
      <c r="C33" s="1096">
        <f>6DOCHODY!F317</f>
        <v>10150</v>
      </c>
      <c r="D33" s="1096">
        <f>SUM(E33,K33)</f>
        <v>10150</v>
      </c>
      <c r="E33" s="1122">
        <f>SUM(F33,G33,H33,I33,J33)</f>
        <v>10150</v>
      </c>
      <c r="F33" s="1096">
        <v>0</v>
      </c>
      <c r="G33" s="1096">
        <v>150</v>
      </c>
      <c r="H33" s="1096">
        <v>0</v>
      </c>
      <c r="I33" s="1096">
        <v>10000</v>
      </c>
      <c r="J33" s="1193">
        <v>0</v>
      </c>
      <c r="K33" s="1194">
        <v>0</v>
      </c>
    </row>
    <row r="34" spans="1:11" s="1183" customFormat="1" ht="19.5" customHeight="1">
      <c r="A34" s="1188" t="s">
        <v>211</v>
      </c>
      <c r="B34" s="1195">
        <v>85228</v>
      </c>
      <c r="C34" s="1190">
        <f>SUM(6DOCHODY!E324)</f>
        <v>78000</v>
      </c>
      <c r="D34" s="1190">
        <f t="shared" si="5"/>
        <v>78000</v>
      </c>
      <c r="E34" s="1190">
        <f t="shared" si="4"/>
        <v>78000</v>
      </c>
      <c r="F34" s="1190">
        <v>72996</v>
      </c>
      <c r="G34" s="1190">
        <v>4617</v>
      </c>
      <c r="H34" s="1190">
        <v>0</v>
      </c>
      <c r="I34" s="1190">
        <v>387</v>
      </c>
      <c r="J34" s="1191">
        <v>0</v>
      </c>
      <c r="K34" s="1192">
        <v>0</v>
      </c>
    </row>
    <row r="35" spans="1:11" s="97" customFormat="1" ht="19.5" customHeight="1">
      <c r="A35" s="591" t="s">
        <v>212</v>
      </c>
      <c r="B35" s="584">
        <v>85228</v>
      </c>
      <c r="C35" s="1096">
        <f>SUM(6DOCHODY!F324)</f>
        <v>77707.01</v>
      </c>
      <c r="D35" s="1096">
        <f t="shared" si="5"/>
        <v>77707.01000000001</v>
      </c>
      <c r="E35" s="1122">
        <f t="shared" si="4"/>
        <v>77707.01000000001</v>
      </c>
      <c r="F35" s="1096">
        <v>72995.69</v>
      </c>
      <c r="G35" s="1096">
        <v>4324.46</v>
      </c>
      <c r="H35" s="1096">
        <v>0</v>
      </c>
      <c r="I35" s="1096">
        <v>386.86</v>
      </c>
      <c r="J35" s="1193">
        <v>0</v>
      </c>
      <c r="K35" s="1194">
        <v>0</v>
      </c>
    </row>
    <row r="36" spans="1:11" s="534" customFormat="1" ht="19.5" customHeight="1" hidden="1">
      <c r="A36" s="537" t="s">
        <v>211</v>
      </c>
      <c r="B36" s="543">
        <v>85278</v>
      </c>
      <c r="C36" s="539">
        <f>SUM(6DOCHODY!E326)</f>
        <v>0</v>
      </c>
      <c r="D36" s="539">
        <f t="shared" si="5"/>
        <v>0</v>
      </c>
      <c r="E36" s="539">
        <f>SUM(F36,G36,H36,I36,J36)</f>
        <v>0</v>
      </c>
      <c r="F36" s="539">
        <v>0</v>
      </c>
      <c r="G36" s="539">
        <v>0</v>
      </c>
      <c r="H36" s="539">
        <v>0</v>
      </c>
      <c r="I36" s="539">
        <v>0</v>
      </c>
      <c r="J36" s="540">
        <v>0</v>
      </c>
      <c r="K36" s="541">
        <v>0</v>
      </c>
    </row>
    <row r="37" spans="1:11" ht="19.5" customHeight="1" hidden="1">
      <c r="A37" s="372" t="s">
        <v>212</v>
      </c>
      <c r="B37" s="370">
        <v>85278</v>
      </c>
      <c r="C37" s="479">
        <f>SUM(6DOCHODY!F326)</f>
        <v>0</v>
      </c>
      <c r="D37" s="479">
        <f t="shared" si="5"/>
        <v>0</v>
      </c>
      <c r="E37" s="487">
        <f>SUM(F37,G37,H37,I37,J37)</f>
        <v>0</v>
      </c>
      <c r="F37" s="479">
        <v>0</v>
      </c>
      <c r="G37" s="479">
        <v>0</v>
      </c>
      <c r="H37" s="479">
        <v>0</v>
      </c>
      <c r="I37" s="479">
        <v>0</v>
      </c>
      <c r="J37" s="490">
        <v>0</v>
      </c>
      <c r="K37" s="542">
        <v>0</v>
      </c>
    </row>
    <row r="38" spans="1:11" s="1183" customFormat="1" ht="19.5" customHeight="1">
      <c r="A38" s="1188" t="s">
        <v>211</v>
      </c>
      <c r="B38" s="1195">
        <v>85295</v>
      </c>
      <c r="C38" s="1190">
        <f>6DOCHODY!E330</f>
        <v>164510</v>
      </c>
      <c r="D38" s="1190">
        <f t="shared" si="5"/>
        <v>164510</v>
      </c>
      <c r="E38" s="1190">
        <f>SUM(F38,G38,H38,I38,J38)</f>
        <v>164510</v>
      </c>
      <c r="F38" s="1190">
        <v>4851</v>
      </c>
      <c r="G38" s="1190">
        <v>0</v>
      </c>
      <c r="H38" s="1190">
        <v>0</v>
      </c>
      <c r="I38" s="1190">
        <v>159659</v>
      </c>
      <c r="J38" s="1191">
        <v>0</v>
      </c>
      <c r="K38" s="1192">
        <v>0</v>
      </c>
    </row>
    <row r="39" spans="1:11" s="97" customFormat="1" ht="19.5" customHeight="1">
      <c r="A39" s="591" t="s">
        <v>212</v>
      </c>
      <c r="B39" s="584">
        <v>85295</v>
      </c>
      <c r="C39" s="1122">
        <f>6DOCHODY!F330</f>
        <v>157300</v>
      </c>
      <c r="D39" s="1096">
        <f t="shared" si="5"/>
        <v>157300</v>
      </c>
      <c r="E39" s="1122">
        <f>SUM(F39,G39,H39,I39,J39)</f>
        <v>157300</v>
      </c>
      <c r="F39" s="1096">
        <v>4500</v>
      </c>
      <c r="G39" s="1096">
        <v>0</v>
      </c>
      <c r="H39" s="1096">
        <v>0</v>
      </c>
      <c r="I39" s="1096">
        <v>152800</v>
      </c>
      <c r="J39" s="1193">
        <v>0</v>
      </c>
      <c r="K39" s="1194">
        <v>0</v>
      </c>
    </row>
    <row r="40" spans="1:11" s="534" customFormat="1" ht="19.5" customHeight="1">
      <c r="A40" s="532" t="s">
        <v>211</v>
      </c>
      <c r="B40" s="360" t="s">
        <v>832</v>
      </c>
      <c r="C40" s="533">
        <f>SUM(C42,C44,C46,C48,C52,C54,C56,C60,C62,C64,C66)</f>
        <v>6442867</v>
      </c>
      <c r="D40" s="533">
        <f>SUM(D42,D44,D46,D48,D52,D54,D56,D60,D62,D64,D66)</f>
        <v>6442867</v>
      </c>
      <c r="E40" s="533">
        <f>SUM(E42,E44,E46,E48,E52,E54,E56,E60,E62,E64,E66)</f>
        <v>6441267</v>
      </c>
      <c r="F40" s="533">
        <f aca="true" t="shared" si="6" ref="F40:K40">SUM(F42,F44,F46,F48,F52,F54,F56,F60,F62,F64,F66)</f>
        <v>5115578</v>
      </c>
      <c r="G40" s="533">
        <f t="shared" si="6"/>
        <v>1114707</v>
      </c>
      <c r="H40" s="533">
        <f t="shared" si="6"/>
        <v>35000</v>
      </c>
      <c r="I40" s="533">
        <f t="shared" si="6"/>
        <v>175982</v>
      </c>
      <c r="J40" s="533">
        <f t="shared" si="6"/>
        <v>0</v>
      </c>
      <c r="K40" s="533">
        <f t="shared" si="6"/>
        <v>1600</v>
      </c>
    </row>
    <row r="41" spans="1:11" ht="19.5" customHeight="1">
      <c r="A41" s="535" t="s">
        <v>212</v>
      </c>
      <c r="B41" s="536" t="s">
        <v>832</v>
      </c>
      <c r="C41" s="478">
        <f>SUM(C43,C45,C47,C49,C53,C55,C57,C61,C63,C65,C67)</f>
        <v>6395363.96</v>
      </c>
      <c r="D41" s="478">
        <f>SUM(D43,D45,D47,D49,D51,D53,D55,D57,D59,D61,D63,D65,D67)</f>
        <v>6395363.960000001</v>
      </c>
      <c r="E41" s="478">
        <f aca="true" t="shared" si="7" ref="E41:K41">SUM(E43,E45,E47,E49,E51,E53,E55,E57,E59,E61,E63,E65,E67)</f>
        <v>6393843.680000001</v>
      </c>
      <c r="F41" s="478">
        <f t="shared" si="7"/>
        <v>5098131.74</v>
      </c>
      <c r="G41" s="478">
        <f t="shared" si="7"/>
        <v>1084731.46</v>
      </c>
      <c r="H41" s="478">
        <f t="shared" si="7"/>
        <v>35000</v>
      </c>
      <c r="I41" s="478">
        <f t="shared" si="7"/>
        <v>175980.48</v>
      </c>
      <c r="J41" s="478">
        <f t="shared" si="7"/>
        <v>0</v>
      </c>
      <c r="K41" s="478">
        <f t="shared" si="7"/>
        <v>1520.28</v>
      </c>
    </row>
    <row r="42" spans="1:11" s="1183" customFormat="1" ht="19.5" customHeight="1">
      <c r="A42" s="1204" t="s">
        <v>211</v>
      </c>
      <c r="B42" s="1206" t="s">
        <v>258</v>
      </c>
      <c r="C42" s="1201">
        <f>SUM(6DOCHODY!E469,6DOCHODY!E470)</f>
        <v>263713</v>
      </c>
      <c r="D42" s="1190">
        <f aca="true" t="shared" si="8" ref="D42:D66">SUM(E42,K42)</f>
        <v>263713</v>
      </c>
      <c r="E42" s="1201">
        <f>SUM(F42,G42,H42,I42,J42)</f>
        <v>262113</v>
      </c>
      <c r="F42" s="1201">
        <v>0</v>
      </c>
      <c r="G42" s="1201">
        <v>262113</v>
      </c>
      <c r="H42" s="1201">
        <v>0</v>
      </c>
      <c r="I42" s="1201">
        <v>0</v>
      </c>
      <c r="J42" s="1202">
        <v>0</v>
      </c>
      <c r="K42" s="1203">
        <v>1600</v>
      </c>
    </row>
    <row r="43" spans="1:11" s="97" customFormat="1" ht="19.5" customHeight="1">
      <c r="A43" s="591" t="s">
        <v>212</v>
      </c>
      <c r="B43" s="1127" t="s">
        <v>258</v>
      </c>
      <c r="C43" s="1096">
        <f>SUM(6DOCHODY!F469,6DOCHODY!F470)</f>
        <v>238056.56</v>
      </c>
      <c r="D43" s="1122">
        <f>SUM(E43,K43)</f>
        <v>238056.56</v>
      </c>
      <c r="E43" s="1117">
        <f aca="true" t="shared" si="9" ref="E43:E67">SUM(F43,G43,H43,I43,J43)</f>
        <v>236536.28</v>
      </c>
      <c r="F43" s="1096">
        <v>0</v>
      </c>
      <c r="G43" s="1096">
        <v>236536.28</v>
      </c>
      <c r="H43" s="1096">
        <v>0</v>
      </c>
      <c r="I43" s="1096">
        <v>0</v>
      </c>
      <c r="J43" s="1193">
        <v>0</v>
      </c>
      <c r="K43" s="1194">
        <v>1520.28</v>
      </c>
    </row>
    <row r="44" spans="1:11" s="1183" customFormat="1" ht="19.5" customHeight="1">
      <c r="A44" s="1188" t="s">
        <v>211</v>
      </c>
      <c r="B44" s="1189" t="s">
        <v>262</v>
      </c>
      <c r="C44" s="1190">
        <f>SUM(6DOCHODY!E473)</f>
        <v>102000</v>
      </c>
      <c r="D44" s="1190">
        <f t="shared" si="8"/>
        <v>102000</v>
      </c>
      <c r="E44" s="1201">
        <f t="shared" si="9"/>
        <v>102000</v>
      </c>
      <c r="F44" s="1190">
        <v>0</v>
      </c>
      <c r="G44" s="1190">
        <v>102000</v>
      </c>
      <c r="H44" s="1190">
        <v>0</v>
      </c>
      <c r="I44" s="1190">
        <v>0</v>
      </c>
      <c r="J44" s="1191">
        <v>0</v>
      </c>
      <c r="K44" s="1192">
        <v>0</v>
      </c>
    </row>
    <row r="45" spans="1:11" s="97" customFormat="1" ht="19.5" customHeight="1">
      <c r="A45" s="591" t="s">
        <v>212</v>
      </c>
      <c r="B45" s="1127" t="s">
        <v>262</v>
      </c>
      <c r="C45" s="1096">
        <f>SUM(6DOCHODY!F473)</f>
        <v>102000</v>
      </c>
      <c r="D45" s="1122">
        <f t="shared" si="8"/>
        <v>102000</v>
      </c>
      <c r="E45" s="1117">
        <f t="shared" si="9"/>
        <v>102000</v>
      </c>
      <c r="F45" s="1096">
        <v>0</v>
      </c>
      <c r="G45" s="1096">
        <v>102000</v>
      </c>
      <c r="H45" s="1096">
        <v>0</v>
      </c>
      <c r="I45" s="1096">
        <v>0</v>
      </c>
      <c r="J45" s="1193">
        <v>0</v>
      </c>
      <c r="K45" s="1194">
        <v>0</v>
      </c>
    </row>
    <row r="46" spans="1:11" s="1183" customFormat="1" ht="19.5" customHeight="1" hidden="1">
      <c r="A46" s="1204" t="s">
        <v>211</v>
      </c>
      <c r="B46" s="1206" t="s">
        <v>263</v>
      </c>
      <c r="C46" s="1201">
        <f>SUM(6DOCHODY!E479)</f>
        <v>0</v>
      </c>
      <c r="D46" s="1201">
        <f t="shared" si="8"/>
        <v>0</v>
      </c>
      <c r="E46" s="1201">
        <f t="shared" si="9"/>
        <v>0</v>
      </c>
      <c r="F46" s="1201">
        <v>0</v>
      </c>
      <c r="G46" s="1201">
        <v>0</v>
      </c>
      <c r="H46" s="1201">
        <v>0</v>
      </c>
      <c r="I46" s="1201">
        <v>0</v>
      </c>
      <c r="J46" s="1202">
        <v>0</v>
      </c>
      <c r="K46" s="1203">
        <v>0</v>
      </c>
    </row>
    <row r="47" spans="1:11" s="97" customFormat="1" ht="19.5" customHeight="1" hidden="1">
      <c r="A47" s="591" t="s">
        <v>212</v>
      </c>
      <c r="B47" s="1127" t="s">
        <v>263</v>
      </c>
      <c r="C47" s="1096">
        <f>SUM(6DOCHODY!F479)</f>
        <v>0</v>
      </c>
      <c r="D47" s="1122">
        <f t="shared" si="8"/>
        <v>0</v>
      </c>
      <c r="E47" s="1117">
        <f t="shared" si="9"/>
        <v>0</v>
      </c>
      <c r="F47" s="1096">
        <v>0</v>
      </c>
      <c r="G47" s="1096">
        <v>0</v>
      </c>
      <c r="H47" s="1096">
        <v>0</v>
      </c>
      <c r="I47" s="1096">
        <v>0</v>
      </c>
      <c r="J47" s="1193">
        <v>0</v>
      </c>
      <c r="K47" s="1194">
        <v>0</v>
      </c>
    </row>
    <row r="48" spans="1:11" s="1183" customFormat="1" ht="19.5" customHeight="1">
      <c r="A48" s="1188" t="s">
        <v>211</v>
      </c>
      <c r="B48" s="1189" t="s">
        <v>265</v>
      </c>
      <c r="C48" s="1190">
        <f>SUM(6DOCHODY!E482,6DOCHODY!E483)</f>
        <v>376000</v>
      </c>
      <c r="D48" s="1190">
        <f t="shared" si="8"/>
        <v>376000</v>
      </c>
      <c r="E48" s="1201">
        <f t="shared" si="9"/>
        <v>376000</v>
      </c>
      <c r="F48" s="1190">
        <v>347015</v>
      </c>
      <c r="G48" s="1190">
        <v>28153</v>
      </c>
      <c r="H48" s="1190">
        <v>0</v>
      </c>
      <c r="I48" s="1190">
        <v>832</v>
      </c>
      <c r="J48" s="1191">
        <v>0</v>
      </c>
      <c r="K48" s="1192">
        <v>0</v>
      </c>
    </row>
    <row r="49" spans="1:11" s="97" customFormat="1" ht="19.5" customHeight="1">
      <c r="A49" s="591" t="s">
        <v>212</v>
      </c>
      <c r="B49" s="1127" t="s">
        <v>265</v>
      </c>
      <c r="C49" s="1096">
        <f>SUM(6DOCHODY!F482,6DOCHODY!F483)</f>
        <v>375995.95</v>
      </c>
      <c r="D49" s="1122">
        <f t="shared" si="8"/>
        <v>375995.95</v>
      </c>
      <c r="E49" s="1117">
        <f t="shared" si="9"/>
        <v>375995.95</v>
      </c>
      <c r="F49" s="1096">
        <v>347012.53</v>
      </c>
      <c r="G49" s="1096">
        <v>28152.38</v>
      </c>
      <c r="H49" s="1096">
        <v>0</v>
      </c>
      <c r="I49" s="1096">
        <v>831.04</v>
      </c>
      <c r="J49" s="1193">
        <v>0</v>
      </c>
      <c r="K49" s="1194">
        <v>0</v>
      </c>
    </row>
    <row r="50" spans="1:11" s="534" customFormat="1" ht="19.5" customHeight="1" hidden="1">
      <c r="A50" s="537" t="s">
        <v>211</v>
      </c>
      <c r="B50" s="538" t="s">
        <v>960</v>
      </c>
      <c r="C50" s="539">
        <f>SUM(6DOCHODY!E485)</f>
        <v>0</v>
      </c>
      <c r="D50" s="539">
        <f>SUM(E50,K50)</f>
        <v>0</v>
      </c>
      <c r="E50" s="550">
        <f>SUM(F50,G50,H50,I50,J50)</f>
        <v>0</v>
      </c>
      <c r="F50" s="539">
        <v>0</v>
      </c>
      <c r="G50" s="539">
        <v>0</v>
      </c>
      <c r="H50" s="539">
        <v>0</v>
      </c>
      <c r="I50" s="539">
        <v>0</v>
      </c>
      <c r="J50" s="540">
        <v>0</v>
      </c>
      <c r="K50" s="541">
        <v>0</v>
      </c>
    </row>
    <row r="51" spans="1:11" ht="19.5" customHeight="1" hidden="1">
      <c r="A51" s="372" t="s">
        <v>212</v>
      </c>
      <c r="B51" s="495" t="s">
        <v>960</v>
      </c>
      <c r="C51" s="487">
        <f>SUM(6DOCHODY!F485)</f>
        <v>0</v>
      </c>
      <c r="D51" s="487">
        <f>SUM(E51,K51)</f>
        <v>0</v>
      </c>
      <c r="E51" s="491">
        <f>SUM(F51,G51,H51,I51,J51)</f>
        <v>0</v>
      </c>
      <c r="F51" s="479">
        <v>0</v>
      </c>
      <c r="G51" s="479">
        <v>0</v>
      </c>
      <c r="H51" s="479">
        <v>0</v>
      </c>
      <c r="I51" s="479">
        <v>0</v>
      </c>
      <c r="J51" s="490">
        <v>0</v>
      </c>
      <c r="K51" s="542">
        <v>0</v>
      </c>
    </row>
    <row r="52" spans="1:11" s="1183" customFormat="1" ht="19.5" customHeight="1">
      <c r="A52" s="1188" t="s">
        <v>211</v>
      </c>
      <c r="B52" s="1189" t="s">
        <v>943</v>
      </c>
      <c r="C52" s="1190">
        <f>SUM(6DOCHODY!E488)</f>
        <v>80900</v>
      </c>
      <c r="D52" s="1190">
        <f t="shared" si="8"/>
        <v>80900</v>
      </c>
      <c r="E52" s="1201">
        <f t="shared" si="9"/>
        <v>80900</v>
      </c>
      <c r="F52" s="1190">
        <v>80900</v>
      </c>
      <c r="G52" s="1190">
        <v>0</v>
      </c>
      <c r="H52" s="1190">
        <v>0</v>
      </c>
      <c r="I52" s="1190">
        <v>0</v>
      </c>
      <c r="J52" s="1191">
        <v>0</v>
      </c>
      <c r="K52" s="1192">
        <v>0</v>
      </c>
    </row>
    <row r="53" spans="1:11" s="97" customFormat="1" ht="19.5" customHeight="1">
      <c r="A53" s="591" t="s">
        <v>212</v>
      </c>
      <c r="B53" s="1127" t="s">
        <v>943</v>
      </c>
      <c r="C53" s="1096">
        <f>SUM(6DOCHODY!F488)</f>
        <v>80899.37</v>
      </c>
      <c r="D53" s="1122">
        <f t="shared" si="8"/>
        <v>80899.37</v>
      </c>
      <c r="E53" s="1117">
        <f t="shared" si="9"/>
        <v>80899.37</v>
      </c>
      <c r="F53" s="1096">
        <v>80899.37</v>
      </c>
      <c r="G53" s="1096">
        <v>0</v>
      </c>
      <c r="H53" s="1096">
        <v>0</v>
      </c>
      <c r="I53" s="1096">
        <v>0</v>
      </c>
      <c r="J53" s="1193">
        <v>0</v>
      </c>
      <c r="K53" s="1194">
        <v>0</v>
      </c>
    </row>
    <row r="54" spans="1:11" s="1183" customFormat="1" ht="19.5" customHeight="1">
      <c r="A54" s="1188" t="s">
        <v>211</v>
      </c>
      <c r="B54" s="1189" t="s">
        <v>2</v>
      </c>
      <c r="C54" s="1190">
        <f>SUM(6DOCHODY!E496)</f>
        <v>19000</v>
      </c>
      <c r="D54" s="1190">
        <f t="shared" si="8"/>
        <v>19000</v>
      </c>
      <c r="E54" s="1201">
        <f t="shared" si="9"/>
        <v>19000</v>
      </c>
      <c r="F54" s="1190">
        <v>9937</v>
      </c>
      <c r="G54" s="1190">
        <v>9063</v>
      </c>
      <c r="H54" s="1190">
        <v>0</v>
      </c>
      <c r="I54" s="1190">
        <v>0</v>
      </c>
      <c r="J54" s="1191">
        <v>0</v>
      </c>
      <c r="K54" s="1192">
        <v>0</v>
      </c>
    </row>
    <row r="55" spans="1:11" s="97" customFormat="1" ht="19.5" customHeight="1">
      <c r="A55" s="591" t="s">
        <v>212</v>
      </c>
      <c r="B55" s="1127" t="s">
        <v>2</v>
      </c>
      <c r="C55" s="1096">
        <f>SUM(6DOCHODY!F496)</f>
        <v>18998.81</v>
      </c>
      <c r="D55" s="1122">
        <f t="shared" si="8"/>
        <v>18998.809999999998</v>
      </c>
      <c r="E55" s="1117">
        <f t="shared" si="9"/>
        <v>18998.809999999998</v>
      </c>
      <c r="F55" s="1096">
        <v>9936.6</v>
      </c>
      <c r="G55" s="1096">
        <v>9062.21</v>
      </c>
      <c r="H55" s="1096">
        <v>0</v>
      </c>
      <c r="I55" s="1096">
        <v>0</v>
      </c>
      <c r="J55" s="1193">
        <v>0</v>
      </c>
      <c r="K55" s="1194">
        <v>0</v>
      </c>
    </row>
    <row r="56" spans="1:11" s="1183" customFormat="1" ht="19.5" customHeight="1">
      <c r="A56" s="1188" t="s">
        <v>211</v>
      </c>
      <c r="B56" s="1189" t="s">
        <v>6</v>
      </c>
      <c r="C56" s="1190">
        <f>SUM(6DOCHODY!E500,6DOCHODY!E501)</f>
        <v>4312588</v>
      </c>
      <c r="D56" s="1190">
        <f t="shared" si="8"/>
        <v>4312588</v>
      </c>
      <c r="E56" s="1201">
        <f t="shared" si="9"/>
        <v>4312588</v>
      </c>
      <c r="F56" s="1190">
        <v>3573786</v>
      </c>
      <c r="G56" s="1190">
        <v>563652</v>
      </c>
      <c r="H56" s="1190">
        <v>0</v>
      </c>
      <c r="I56" s="1190">
        <v>175150</v>
      </c>
      <c r="J56" s="1191">
        <v>0</v>
      </c>
      <c r="K56" s="1192">
        <v>0</v>
      </c>
    </row>
    <row r="57" spans="1:11" s="97" customFormat="1" ht="19.5" customHeight="1">
      <c r="A57" s="591" t="s">
        <v>212</v>
      </c>
      <c r="B57" s="1127" t="s">
        <v>6</v>
      </c>
      <c r="C57" s="1096">
        <f>SUM(6DOCHODY!F500,6DOCHODY!F501)</f>
        <v>4305966.02</v>
      </c>
      <c r="D57" s="1122">
        <f t="shared" si="8"/>
        <v>4305966.0200000005</v>
      </c>
      <c r="E57" s="1117">
        <f t="shared" si="9"/>
        <v>4305966.0200000005</v>
      </c>
      <c r="F57" s="1096">
        <v>3567169.11</v>
      </c>
      <c r="G57" s="1096">
        <v>563647.47</v>
      </c>
      <c r="H57" s="1096">
        <v>0</v>
      </c>
      <c r="I57" s="1096">
        <v>175149.44</v>
      </c>
      <c r="J57" s="1193">
        <v>0</v>
      </c>
      <c r="K57" s="1194">
        <v>0</v>
      </c>
    </row>
    <row r="58" spans="1:11" s="534" customFormat="1" ht="19.5" customHeight="1" hidden="1">
      <c r="A58" s="537" t="s">
        <v>211</v>
      </c>
      <c r="B58" s="538" t="s">
        <v>1733</v>
      </c>
      <c r="C58" s="539">
        <f>6DOCHODY!E503</f>
        <v>166</v>
      </c>
      <c r="D58" s="539">
        <f>SUM(E58,K58)</f>
        <v>0</v>
      </c>
      <c r="E58" s="550">
        <f>SUM(F58,G58,H58,I58,J58)</f>
        <v>0</v>
      </c>
      <c r="F58" s="539">
        <v>0</v>
      </c>
      <c r="G58" s="539">
        <v>0</v>
      </c>
      <c r="H58" s="539">
        <v>0</v>
      </c>
      <c r="I58" s="539">
        <v>0</v>
      </c>
      <c r="J58" s="540">
        <v>0</v>
      </c>
      <c r="K58" s="541">
        <v>0</v>
      </c>
    </row>
    <row r="59" spans="1:11" ht="19.5" customHeight="1" hidden="1">
      <c r="A59" s="372" t="s">
        <v>212</v>
      </c>
      <c r="B59" s="495" t="s">
        <v>1733</v>
      </c>
      <c r="C59" s="479">
        <f>6DOCHODY!F503</f>
        <v>166</v>
      </c>
      <c r="D59" s="487">
        <f>SUM(E59,K59)</f>
        <v>0</v>
      </c>
      <c r="E59" s="487">
        <f>SUM(F59,G59,H59,I59,J59)</f>
        <v>0</v>
      </c>
      <c r="F59" s="479">
        <v>0</v>
      </c>
      <c r="G59" s="479">
        <v>0</v>
      </c>
      <c r="H59" s="479">
        <v>0</v>
      </c>
      <c r="I59" s="479">
        <v>0</v>
      </c>
      <c r="J59" s="490">
        <v>0</v>
      </c>
      <c r="K59" s="542">
        <v>0</v>
      </c>
    </row>
    <row r="60" spans="1:11" s="1183" customFormat="1" ht="19.5" customHeight="1">
      <c r="A60" s="1188" t="s">
        <v>211</v>
      </c>
      <c r="B60" s="1189" t="s">
        <v>1733</v>
      </c>
      <c r="C60" s="1190">
        <f>SUM(6DOCHODY!E503)</f>
        <v>166</v>
      </c>
      <c r="D60" s="1190">
        <f>SUM(E60,K60)</f>
        <v>166</v>
      </c>
      <c r="E60" s="1201">
        <f>SUM(F60,G60,H60,I60,J60)</f>
        <v>166</v>
      </c>
      <c r="F60" s="1190">
        <v>0</v>
      </c>
      <c r="G60" s="1190">
        <v>166</v>
      </c>
      <c r="H60" s="1190">
        <v>0</v>
      </c>
      <c r="I60" s="1190">
        <v>0</v>
      </c>
      <c r="J60" s="1191">
        <v>0</v>
      </c>
      <c r="K60" s="1192">
        <v>0</v>
      </c>
    </row>
    <row r="61" spans="1:11" s="97" customFormat="1" ht="19.5" customHeight="1">
      <c r="A61" s="591" t="s">
        <v>212</v>
      </c>
      <c r="B61" s="1127" t="s">
        <v>1733</v>
      </c>
      <c r="C61" s="1096">
        <f>SUM(6DOCHODY!F503)</f>
        <v>166</v>
      </c>
      <c r="D61" s="1122">
        <f>SUM(E61,K61)</f>
        <v>166</v>
      </c>
      <c r="E61" s="1117">
        <f>SUM(F61,G61,H61,I61,J61)</f>
        <v>166</v>
      </c>
      <c r="F61" s="1096">
        <v>0</v>
      </c>
      <c r="G61" s="1096">
        <v>166</v>
      </c>
      <c r="H61" s="1096">
        <v>0</v>
      </c>
      <c r="I61" s="1096">
        <v>0</v>
      </c>
      <c r="J61" s="1193">
        <v>0</v>
      </c>
      <c r="K61" s="1194">
        <v>0</v>
      </c>
    </row>
    <row r="62" spans="1:11" s="1183" customFormat="1" ht="19.5" customHeight="1">
      <c r="A62" s="1188" t="s">
        <v>211</v>
      </c>
      <c r="B62" s="1189" t="s">
        <v>1206</v>
      </c>
      <c r="C62" s="1190">
        <f>SUM(6DOCHODY!E548)</f>
        <v>935500</v>
      </c>
      <c r="D62" s="1190">
        <f t="shared" si="8"/>
        <v>935500</v>
      </c>
      <c r="E62" s="1201">
        <f t="shared" si="9"/>
        <v>935500</v>
      </c>
      <c r="F62" s="1190">
        <v>935500</v>
      </c>
      <c r="G62" s="1190">
        <v>0</v>
      </c>
      <c r="H62" s="1190">
        <v>0</v>
      </c>
      <c r="I62" s="1190">
        <v>0</v>
      </c>
      <c r="J62" s="1191">
        <v>0</v>
      </c>
      <c r="K62" s="1192">
        <v>0</v>
      </c>
    </row>
    <row r="63" spans="1:11" s="97" customFormat="1" ht="19.5" customHeight="1">
      <c r="A63" s="591" t="s">
        <v>212</v>
      </c>
      <c r="B63" s="1127" t="s">
        <v>1206</v>
      </c>
      <c r="C63" s="1096">
        <f>SUM(6DOCHODY!F548)</f>
        <v>924676.8</v>
      </c>
      <c r="D63" s="1122">
        <f t="shared" si="8"/>
        <v>924676.8</v>
      </c>
      <c r="E63" s="1117">
        <f t="shared" si="9"/>
        <v>924676.8</v>
      </c>
      <c r="F63" s="1096">
        <v>924676.8</v>
      </c>
      <c r="G63" s="1096">
        <v>0</v>
      </c>
      <c r="H63" s="1096">
        <v>0</v>
      </c>
      <c r="I63" s="1096">
        <v>0</v>
      </c>
      <c r="J63" s="1193">
        <v>0</v>
      </c>
      <c r="K63" s="1194">
        <v>0</v>
      </c>
    </row>
    <row r="64" spans="1:11" s="1183" customFormat="1" ht="19.5" customHeight="1">
      <c r="A64" s="1204" t="s">
        <v>211</v>
      </c>
      <c r="B64" s="1206" t="s">
        <v>550</v>
      </c>
      <c r="C64" s="1201">
        <f>SUM(6DOCHODY!E565)</f>
        <v>318000</v>
      </c>
      <c r="D64" s="1190">
        <f t="shared" si="8"/>
        <v>318000</v>
      </c>
      <c r="E64" s="1201">
        <f t="shared" si="9"/>
        <v>318000</v>
      </c>
      <c r="F64" s="1201">
        <v>168440</v>
      </c>
      <c r="G64" s="1201">
        <v>149560</v>
      </c>
      <c r="H64" s="1201">
        <v>0</v>
      </c>
      <c r="I64" s="1201">
        <v>0</v>
      </c>
      <c r="J64" s="1202">
        <v>0</v>
      </c>
      <c r="K64" s="1203">
        <v>0</v>
      </c>
    </row>
    <row r="65" spans="1:11" s="97" customFormat="1" ht="19.5" customHeight="1">
      <c r="A65" s="591" t="s">
        <v>212</v>
      </c>
      <c r="B65" s="1127" t="s">
        <v>550</v>
      </c>
      <c r="C65" s="1096">
        <f>SUM(6DOCHODY!F565)</f>
        <v>313604.45</v>
      </c>
      <c r="D65" s="1122">
        <f t="shared" si="8"/>
        <v>313604.44999999995</v>
      </c>
      <c r="E65" s="1117">
        <f t="shared" si="9"/>
        <v>313604.44999999995</v>
      </c>
      <c r="F65" s="1096">
        <v>168437.33</v>
      </c>
      <c r="G65" s="1096">
        <v>145167.12</v>
      </c>
      <c r="H65" s="1096">
        <v>0</v>
      </c>
      <c r="I65" s="1096">
        <v>0</v>
      </c>
      <c r="J65" s="1193">
        <v>0</v>
      </c>
      <c r="K65" s="1194">
        <v>0</v>
      </c>
    </row>
    <row r="66" spans="1:11" s="1183" customFormat="1" ht="19.5" customHeight="1">
      <c r="A66" s="1188" t="s">
        <v>211</v>
      </c>
      <c r="B66" s="1189" t="s">
        <v>33</v>
      </c>
      <c r="C66" s="1190">
        <f>SUM(6DOCHODY!E576)</f>
        <v>35000</v>
      </c>
      <c r="D66" s="1190">
        <f t="shared" si="8"/>
        <v>35000</v>
      </c>
      <c r="E66" s="1201">
        <f t="shared" si="9"/>
        <v>35000</v>
      </c>
      <c r="F66" s="1190">
        <v>0</v>
      </c>
      <c r="G66" s="1190">
        <v>0</v>
      </c>
      <c r="H66" s="1190">
        <v>35000</v>
      </c>
      <c r="I66" s="1190">
        <v>0</v>
      </c>
      <c r="J66" s="1191">
        <v>0</v>
      </c>
      <c r="K66" s="1192">
        <v>0</v>
      </c>
    </row>
    <row r="67" spans="1:11" s="97" customFormat="1" ht="19.5" customHeight="1">
      <c r="A67" s="591" t="s">
        <v>212</v>
      </c>
      <c r="B67" s="1127" t="s">
        <v>33</v>
      </c>
      <c r="C67" s="1096">
        <f>SUM(6DOCHODY!F576)</f>
        <v>35000</v>
      </c>
      <c r="D67" s="1122">
        <f>SUM(E67,K67)</f>
        <v>35000</v>
      </c>
      <c r="E67" s="1117">
        <f t="shared" si="9"/>
        <v>35000</v>
      </c>
      <c r="F67" s="1096">
        <v>0</v>
      </c>
      <c r="G67" s="1096">
        <v>0</v>
      </c>
      <c r="H67" s="1096">
        <v>35000</v>
      </c>
      <c r="I67" s="1096">
        <v>0</v>
      </c>
      <c r="J67" s="1193">
        <v>0</v>
      </c>
      <c r="K67" s="1194">
        <v>0</v>
      </c>
    </row>
    <row r="68" spans="1:11" s="1183" customFormat="1" ht="19.5" customHeight="1" hidden="1">
      <c r="A68" s="1204" t="s">
        <v>211</v>
      </c>
      <c r="B68" s="1206" t="s">
        <v>1619</v>
      </c>
      <c r="C68" s="1201">
        <f>SUM(6DOCHODY!E582)</f>
        <v>0</v>
      </c>
      <c r="D68" s="1201">
        <f>SUM(E68,K68)</f>
        <v>0</v>
      </c>
      <c r="E68" s="1201"/>
      <c r="F68" s="1201">
        <v>0</v>
      </c>
      <c r="G68" s="1201">
        <v>0</v>
      </c>
      <c r="H68" s="1201"/>
      <c r="I68" s="1201">
        <v>0</v>
      </c>
      <c r="J68" s="1202"/>
      <c r="K68" s="1203">
        <v>0</v>
      </c>
    </row>
    <row r="69" spans="1:11" s="97" customFormat="1" ht="19.5" customHeight="1" hidden="1" thickBot="1">
      <c r="A69" s="1098" t="s">
        <v>212</v>
      </c>
      <c r="B69" s="1207" t="s">
        <v>1619</v>
      </c>
      <c r="C69" s="1100">
        <f>SUM(6DOCHODY!F582)</f>
        <v>0</v>
      </c>
      <c r="D69" s="1126">
        <f>SUM(E69,K69)</f>
        <v>0</v>
      </c>
      <c r="E69" s="1100"/>
      <c r="F69" s="1100">
        <v>0</v>
      </c>
      <c r="G69" s="1100">
        <v>0</v>
      </c>
      <c r="H69" s="1100"/>
      <c r="I69" s="1100">
        <v>0</v>
      </c>
      <c r="J69" s="1208"/>
      <c r="K69" s="1209">
        <v>0</v>
      </c>
    </row>
    <row r="70" spans="1:11" s="1212" customFormat="1" ht="19.5" customHeight="1">
      <c r="A70" s="1080" t="s">
        <v>829</v>
      </c>
      <c r="B70" s="1081" t="s">
        <v>828</v>
      </c>
      <c r="C70" s="1210">
        <f aca="true" t="shared" si="10" ref="C70:K70">SUM(C10,C40)</f>
        <v>13126254.57</v>
      </c>
      <c r="D70" s="1210">
        <f t="shared" si="10"/>
        <v>13126254.57</v>
      </c>
      <c r="E70" s="1210">
        <f t="shared" si="10"/>
        <v>13124654.57</v>
      </c>
      <c r="F70" s="1210">
        <f t="shared" si="10"/>
        <v>6006198</v>
      </c>
      <c r="G70" s="1210">
        <f t="shared" si="10"/>
        <v>1181439.57</v>
      </c>
      <c r="H70" s="1210">
        <f t="shared" si="10"/>
        <v>233740</v>
      </c>
      <c r="I70" s="1210">
        <f t="shared" si="10"/>
        <v>5703277</v>
      </c>
      <c r="J70" s="1210">
        <f t="shared" si="10"/>
        <v>0</v>
      </c>
      <c r="K70" s="1211">
        <f t="shared" si="10"/>
        <v>1600</v>
      </c>
    </row>
    <row r="71" spans="1:11" s="98" customFormat="1" ht="19.5" customHeight="1" thickBot="1">
      <c r="A71" s="1213" t="s">
        <v>830</v>
      </c>
      <c r="B71" s="1214" t="s">
        <v>828</v>
      </c>
      <c r="C71" s="1215">
        <f aca="true" t="shared" si="11" ref="C71:K71">SUM(C11,C41)</f>
        <v>12881149.579999998</v>
      </c>
      <c r="D71" s="1215">
        <f t="shared" si="11"/>
        <v>12881149.58</v>
      </c>
      <c r="E71" s="1215">
        <f t="shared" si="11"/>
        <v>12879629.3</v>
      </c>
      <c r="F71" s="1215">
        <f t="shared" si="11"/>
        <v>5970449.33</v>
      </c>
      <c r="G71" s="1215">
        <f t="shared" si="11"/>
        <v>1150267</v>
      </c>
      <c r="H71" s="1215">
        <f t="shared" si="11"/>
        <v>225380</v>
      </c>
      <c r="I71" s="1215">
        <f t="shared" si="11"/>
        <v>5533532.970000001</v>
      </c>
      <c r="J71" s="1215">
        <f t="shared" si="11"/>
        <v>0</v>
      </c>
      <c r="K71" s="1216">
        <f t="shared" si="11"/>
        <v>1520.28</v>
      </c>
    </row>
    <row r="73" spans="1:11" s="97" customFormat="1" ht="23.25" customHeight="1" hidden="1">
      <c r="A73" s="100" t="s">
        <v>1647</v>
      </c>
      <c r="B73" s="100" t="s">
        <v>1148</v>
      </c>
      <c r="C73" s="583">
        <v>13048973.82</v>
      </c>
      <c r="D73" s="606">
        <v>13048973.82</v>
      </c>
      <c r="E73" s="1217">
        <f>SUM(F73,G73,H73,I73,J73)</f>
        <v>13038209.27</v>
      </c>
      <c r="F73" s="606">
        <v>5680647.63</v>
      </c>
      <c r="G73" s="606">
        <v>1435421.86</v>
      </c>
      <c r="H73" s="606">
        <v>227301</v>
      </c>
      <c r="I73" s="606">
        <v>5694838.78</v>
      </c>
      <c r="J73" s="606">
        <v>0</v>
      </c>
      <c r="K73" s="606">
        <v>10764.55</v>
      </c>
    </row>
    <row r="74" spans="1:11" s="98" customFormat="1" ht="12.75" hidden="1">
      <c r="A74" s="96"/>
      <c r="B74" s="96" t="s">
        <v>1663</v>
      </c>
      <c r="C74" s="609">
        <f>C71-C73</f>
        <v>-167824.2400000021</v>
      </c>
      <c r="D74" s="609">
        <f aca="true" t="shared" si="12" ref="D74:K74">D71-D73</f>
        <v>-167824.24000000022</v>
      </c>
      <c r="E74" s="609">
        <f t="shared" si="12"/>
        <v>-158579.9699999988</v>
      </c>
      <c r="F74" s="609">
        <f t="shared" si="12"/>
        <v>289801.7000000002</v>
      </c>
      <c r="G74" s="609">
        <f t="shared" si="12"/>
        <v>-285154.8600000001</v>
      </c>
      <c r="H74" s="609">
        <f t="shared" si="12"/>
        <v>-1921</v>
      </c>
      <c r="I74" s="609">
        <f t="shared" si="12"/>
        <v>-161305.8099999996</v>
      </c>
      <c r="J74" s="609">
        <f t="shared" si="12"/>
        <v>0</v>
      </c>
      <c r="K74" s="609">
        <f t="shared" si="12"/>
        <v>-9244.269999999999</v>
      </c>
    </row>
    <row r="75" ht="12.75" hidden="1">
      <c r="E75" s="361"/>
    </row>
    <row r="76" spans="1:11" s="97" customFormat="1" ht="12.75" hidden="1">
      <c r="A76" s="2071" t="s">
        <v>965</v>
      </c>
      <c r="B76" s="2071"/>
      <c r="C76" s="583">
        <v>13210392.78</v>
      </c>
      <c r="D76" s="583">
        <v>13210392.78</v>
      </c>
      <c r="E76" s="583">
        <v>13199392.78</v>
      </c>
      <c r="F76" s="583">
        <v>5729750</v>
      </c>
      <c r="G76" s="583">
        <v>1464783.78</v>
      </c>
      <c r="H76" s="583">
        <v>234781</v>
      </c>
      <c r="I76" s="583">
        <v>5770078</v>
      </c>
      <c r="J76" s="583">
        <v>0</v>
      </c>
      <c r="K76" s="583">
        <v>11000</v>
      </c>
    </row>
    <row r="77" spans="1:11" s="97" customFormat="1" ht="12.75" hidden="1">
      <c r="A77" s="2071" t="s">
        <v>966</v>
      </c>
      <c r="B77" s="2071"/>
      <c r="C77" s="583">
        <v>13048973.82</v>
      </c>
      <c r="D77" s="583">
        <v>13048973.82</v>
      </c>
      <c r="E77" s="583">
        <v>13038209.27</v>
      </c>
      <c r="F77" s="583">
        <v>5680647.63</v>
      </c>
      <c r="G77" s="583">
        <v>1435421.86</v>
      </c>
      <c r="H77" s="583">
        <v>227301</v>
      </c>
      <c r="I77" s="583">
        <v>5694838.78</v>
      </c>
      <c r="J77" s="583">
        <v>0</v>
      </c>
      <c r="K77" s="583">
        <v>10764.55</v>
      </c>
    </row>
    <row r="78" ht="12.75" hidden="1"/>
    <row r="79" spans="1:11" s="97" customFormat="1" ht="12.75" hidden="1">
      <c r="A79" s="100"/>
      <c r="B79" s="100" t="s">
        <v>77</v>
      </c>
      <c r="C79" s="583">
        <f>C70-C76</f>
        <v>-84138.20999999903</v>
      </c>
      <c r="D79" s="583">
        <f aca="true" t="shared" si="13" ref="D79:K79">D70-D76</f>
        <v>-84138.20999999903</v>
      </c>
      <c r="E79" s="583">
        <f t="shared" si="13"/>
        <v>-74738.20999999903</v>
      </c>
      <c r="F79" s="583">
        <f t="shared" si="13"/>
        <v>276448</v>
      </c>
      <c r="G79" s="583">
        <f t="shared" si="13"/>
        <v>-283344.20999999996</v>
      </c>
      <c r="H79" s="583">
        <f t="shared" si="13"/>
        <v>-1041</v>
      </c>
      <c r="I79" s="583">
        <f t="shared" si="13"/>
        <v>-66801</v>
      </c>
      <c r="J79" s="583">
        <f t="shared" si="13"/>
        <v>0</v>
      </c>
      <c r="K79" s="583">
        <f t="shared" si="13"/>
        <v>-9400</v>
      </c>
    </row>
    <row r="80" spans="1:11" s="97" customFormat="1" ht="12.75" hidden="1">
      <c r="A80" s="100"/>
      <c r="B80" s="100" t="s">
        <v>77</v>
      </c>
      <c r="C80" s="583">
        <f>C71-C77</f>
        <v>-167824.2400000021</v>
      </c>
      <c r="D80" s="583">
        <f aca="true" t="shared" si="14" ref="D80:K80">D71-D77</f>
        <v>-167824.24000000022</v>
      </c>
      <c r="E80" s="583">
        <f t="shared" si="14"/>
        <v>-158579.9699999988</v>
      </c>
      <c r="F80" s="583">
        <f t="shared" si="14"/>
        <v>289801.7000000002</v>
      </c>
      <c r="G80" s="583">
        <f t="shared" si="14"/>
        <v>-285154.8600000001</v>
      </c>
      <c r="H80" s="583">
        <f t="shared" si="14"/>
        <v>-1921</v>
      </c>
      <c r="I80" s="583">
        <f t="shared" si="14"/>
        <v>-161305.8099999996</v>
      </c>
      <c r="J80" s="583">
        <f t="shared" si="14"/>
        <v>0</v>
      </c>
      <c r="K80" s="583">
        <f t="shared" si="14"/>
        <v>-9244.269999999999</v>
      </c>
    </row>
  </sheetData>
  <sheetProtection password="CF53" sheet="1" formatRows="0" insertColumns="0" insertRows="0" insertHyperlinks="0" deleteColumns="0" deleteRows="0" sort="0" autoFilter="0" pivotTables="0"/>
  <mergeCells count="16">
    <mergeCell ref="L6:L7"/>
    <mergeCell ref="A76:B76"/>
    <mergeCell ref="A77:B77"/>
    <mergeCell ref="A3:K3"/>
    <mergeCell ref="A5:A8"/>
    <mergeCell ref="C5:C8"/>
    <mergeCell ref="D5:D8"/>
    <mergeCell ref="B5:B8"/>
    <mergeCell ref="E5:K5"/>
    <mergeCell ref="E6:E8"/>
    <mergeCell ref="F6:J6"/>
    <mergeCell ref="F7:G7"/>
    <mergeCell ref="K6:K8"/>
    <mergeCell ref="H7:H8"/>
    <mergeCell ref="I7:I8"/>
    <mergeCell ref="J7:J8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L36"/>
  <sheetViews>
    <sheetView defaultGridColor="0" view="pageBreakPreview" zoomScaleSheetLayoutView="100" zoomScalePageLayoutView="0" colorId="8" workbookViewId="0" topLeftCell="A1">
      <pane ySplit="9" topLeftCell="A36" activePane="bottomLeft" state="frozen"/>
      <selection pane="topLeft" activeCell="I244" sqref="I244"/>
      <selection pane="bottomLeft" activeCell="A3" sqref="A3:K3"/>
    </sheetView>
  </sheetViews>
  <sheetFormatPr defaultColWidth="9.00390625" defaultRowHeight="12.75"/>
  <cols>
    <col min="1" max="1" width="12.25390625" style="368" customWidth="1"/>
    <col min="2" max="2" width="9.625" style="368" customWidth="1"/>
    <col min="3" max="4" width="12.125" style="357" customWidth="1"/>
    <col min="5" max="5" width="13.625" style="357" customWidth="1"/>
    <col min="6" max="6" width="13.75390625" style="357" customWidth="1"/>
    <col min="7" max="7" width="12.125" style="357" customWidth="1"/>
    <col min="8" max="8" width="11.125" style="357" customWidth="1"/>
    <col min="9" max="9" width="11.00390625" style="357" customWidth="1"/>
    <col min="10" max="10" width="12.25390625" style="357" customWidth="1"/>
    <col min="11" max="11" width="11.625" style="357" customWidth="1"/>
    <col min="12" max="16384" width="9.125" style="357" customWidth="1"/>
  </cols>
  <sheetData>
    <row r="1" spans="1:12" s="97" customFormat="1" ht="12.75">
      <c r="A1" s="1151"/>
      <c r="B1" s="1151"/>
      <c r="C1" s="1175"/>
      <c r="D1" s="1175"/>
      <c r="E1" s="1175"/>
      <c r="F1" s="1175"/>
      <c r="G1" s="1175"/>
      <c r="H1" s="1175"/>
      <c r="I1" s="1175"/>
      <c r="J1" s="1175"/>
      <c r="K1" s="1761" t="s">
        <v>918</v>
      </c>
      <c r="L1" s="118"/>
    </row>
    <row r="2" spans="1:11" s="97" customFormat="1" ht="11.25" customHeight="1">
      <c r="A2" s="1151"/>
      <c r="B2" s="1151"/>
      <c r="C2" s="1175"/>
      <c r="D2" s="1175"/>
      <c r="E2" s="1175"/>
      <c r="F2" s="1175"/>
      <c r="G2" s="1175"/>
      <c r="H2" s="1175"/>
      <c r="I2" s="1175"/>
      <c r="J2" s="1175"/>
      <c r="K2" s="1175"/>
    </row>
    <row r="3" spans="1:11" s="97" customFormat="1" ht="25.5" customHeight="1">
      <c r="A3" s="1999" t="s">
        <v>1218</v>
      </c>
      <c r="B3" s="1999"/>
      <c r="C3" s="1999"/>
      <c r="D3" s="1999"/>
      <c r="E3" s="1999"/>
      <c r="F3" s="1999"/>
      <c r="G3" s="1999"/>
      <c r="H3" s="1999"/>
      <c r="I3" s="1999"/>
      <c r="J3" s="1999"/>
      <c r="K3" s="1999"/>
    </row>
    <row r="4" spans="1:11" s="97" customFormat="1" ht="12" customHeight="1" thickBot="1">
      <c r="A4" s="1151"/>
      <c r="B4" s="1151"/>
      <c r="C4" s="1175"/>
      <c r="D4" s="1175"/>
      <c r="E4" s="1175"/>
      <c r="F4" s="1175"/>
      <c r="G4" s="1175"/>
      <c r="H4" s="1175"/>
      <c r="I4" s="1175"/>
      <c r="J4" s="1175"/>
      <c r="K4" s="810" t="s">
        <v>208</v>
      </c>
    </row>
    <row r="5" spans="1:11" s="100" customFormat="1" ht="12.75" customHeight="1">
      <c r="A5" s="2072" t="s">
        <v>210</v>
      </c>
      <c r="B5" s="2054" t="s">
        <v>209</v>
      </c>
      <c r="C5" s="2053" t="s">
        <v>734</v>
      </c>
      <c r="D5" s="2053" t="s">
        <v>75</v>
      </c>
      <c r="E5" s="2053" t="s">
        <v>1234</v>
      </c>
      <c r="F5" s="2053"/>
      <c r="G5" s="2053"/>
      <c r="H5" s="2053"/>
      <c r="I5" s="2053"/>
      <c r="J5" s="2075"/>
      <c r="K5" s="2076"/>
    </row>
    <row r="6" spans="1:11" s="100" customFormat="1" ht="11.25" customHeight="1">
      <c r="A6" s="1969"/>
      <c r="B6" s="1971"/>
      <c r="C6" s="1973"/>
      <c r="D6" s="1973"/>
      <c r="E6" s="2069" t="s">
        <v>709</v>
      </c>
      <c r="F6" s="2060" t="s">
        <v>981</v>
      </c>
      <c r="G6" s="2061"/>
      <c r="H6" s="2061"/>
      <c r="I6" s="2061"/>
      <c r="J6" s="2062"/>
      <c r="K6" s="2064" t="s">
        <v>735</v>
      </c>
    </row>
    <row r="7" spans="1:11" s="100" customFormat="1" ht="18" customHeight="1">
      <c r="A7" s="2073"/>
      <c r="B7" s="2074"/>
      <c r="C7" s="2074"/>
      <c r="D7" s="2063"/>
      <c r="E7" s="2077"/>
      <c r="F7" s="2063" t="s">
        <v>74</v>
      </c>
      <c r="G7" s="2063"/>
      <c r="H7" s="2063" t="s">
        <v>71</v>
      </c>
      <c r="I7" s="2067" t="s">
        <v>72</v>
      </c>
      <c r="J7" s="2069" t="s">
        <v>73</v>
      </c>
      <c r="K7" s="2065"/>
    </row>
    <row r="8" spans="1:11" s="100" customFormat="1" ht="63" customHeight="1">
      <c r="A8" s="2073"/>
      <c r="B8" s="2074"/>
      <c r="C8" s="2074"/>
      <c r="D8" s="2063"/>
      <c r="E8" s="1973"/>
      <c r="F8" s="1179" t="s">
        <v>406</v>
      </c>
      <c r="G8" s="1179" t="s">
        <v>70</v>
      </c>
      <c r="H8" s="2063"/>
      <c r="I8" s="2068"/>
      <c r="J8" s="1973"/>
      <c r="K8" s="2066"/>
    </row>
    <row r="9" spans="1:11" s="97" customFormat="1" ht="8.25" customHeight="1">
      <c r="A9" s="591">
        <v>1</v>
      </c>
      <c r="B9" s="584">
        <v>2</v>
      </c>
      <c r="C9" s="584">
        <v>3</v>
      </c>
      <c r="D9" s="584">
        <v>4</v>
      </c>
      <c r="E9" s="584">
        <v>5</v>
      </c>
      <c r="F9" s="584">
        <v>6</v>
      </c>
      <c r="G9" s="584">
        <v>7</v>
      </c>
      <c r="H9" s="584">
        <v>8</v>
      </c>
      <c r="I9" s="584">
        <v>9</v>
      </c>
      <c r="J9" s="584">
        <v>10</v>
      </c>
      <c r="K9" s="1180">
        <v>11</v>
      </c>
    </row>
    <row r="10" spans="1:11" s="1183" customFormat="1" ht="18.75" customHeight="1">
      <c r="A10" s="1177" t="s">
        <v>211</v>
      </c>
      <c r="B10" s="818" t="s">
        <v>831</v>
      </c>
      <c r="C10" s="1181">
        <f>SUM(C12,C14,C16,C18,C20)</f>
        <v>23078</v>
      </c>
      <c r="D10" s="1181">
        <f aca="true" t="shared" si="0" ref="D10:K10">SUM(D12,D14,D16,D18,D20)</f>
        <v>23078</v>
      </c>
      <c r="E10" s="1181">
        <f t="shared" si="0"/>
        <v>23078</v>
      </c>
      <c r="F10" s="1181">
        <f t="shared" si="0"/>
        <v>0</v>
      </c>
      <c r="G10" s="1181">
        <f t="shared" si="0"/>
        <v>23078</v>
      </c>
      <c r="H10" s="1181">
        <f t="shared" si="0"/>
        <v>0</v>
      </c>
      <c r="I10" s="1181">
        <f t="shared" si="0"/>
        <v>0</v>
      </c>
      <c r="J10" s="1181">
        <f t="shared" si="0"/>
        <v>0</v>
      </c>
      <c r="K10" s="1182">
        <f t="shared" si="0"/>
        <v>0</v>
      </c>
    </row>
    <row r="11" spans="1:11" s="97" customFormat="1" ht="18.75" customHeight="1">
      <c r="A11" s="1184" t="s">
        <v>212</v>
      </c>
      <c r="B11" s="1185" t="s">
        <v>831</v>
      </c>
      <c r="C11" s="1093">
        <f>SUM(C13,C15,C17,C19,C21)</f>
        <v>15426</v>
      </c>
      <c r="D11" s="1093">
        <f aca="true" t="shared" si="1" ref="D11:K11">SUM(D13,D15,D17,D19,D21)</f>
        <v>15426</v>
      </c>
      <c r="E11" s="1093">
        <f t="shared" si="1"/>
        <v>15426</v>
      </c>
      <c r="F11" s="1093">
        <f t="shared" si="1"/>
        <v>0</v>
      </c>
      <c r="G11" s="1093">
        <f t="shared" si="1"/>
        <v>15426</v>
      </c>
      <c r="H11" s="1093">
        <f t="shared" si="1"/>
        <v>0</v>
      </c>
      <c r="I11" s="1093">
        <f t="shared" si="1"/>
        <v>0</v>
      </c>
      <c r="J11" s="1093">
        <f t="shared" si="1"/>
        <v>0</v>
      </c>
      <c r="K11" s="1219">
        <f t="shared" si="1"/>
        <v>0</v>
      </c>
    </row>
    <row r="12" spans="1:11" s="534" customFormat="1" ht="18.75" customHeight="1" hidden="1">
      <c r="A12" s="537" t="s">
        <v>211</v>
      </c>
      <c r="B12" s="543">
        <v>70005</v>
      </c>
      <c r="C12" s="557">
        <f>SUM(6DOCHODY!E87)</f>
        <v>0</v>
      </c>
      <c r="D12" s="539">
        <f aca="true" t="shared" si="2" ref="D12:D19">SUM(E12,K12)</f>
        <v>0</v>
      </c>
      <c r="E12" s="539">
        <f aca="true" t="shared" si="3" ref="E12:E19">SUM(F12,G12,H12,I12,J12)</f>
        <v>0</v>
      </c>
      <c r="F12" s="539">
        <v>0</v>
      </c>
      <c r="G12" s="539">
        <v>0</v>
      </c>
      <c r="H12" s="539">
        <v>0</v>
      </c>
      <c r="I12" s="539">
        <v>0</v>
      </c>
      <c r="J12" s="540">
        <v>0</v>
      </c>
      <c r="K12" s="541">
        <v>0</v>
      </c>
    </row>
    <row r="13" spans="1:11" ht="18.75" customHeight="1" hidden="1">
      <c r="A13" s="372" t="s">
        <v>212</v>
      </c>
      <c r="B13" s="370">
        <v>70005</v>
      </c>
      <c r="C13" s="371">
        <f>SUM(6DOCHODY!F87)</f>
        <v>0</v>
      </c>
      <c r="D13" s="487">
        <f t="shared" si="2"/>
        <v>0</v>
      </c>
      <c r="E13" s="487">
        <f t="shared" si="3"/>
        <v>0</v>
      </c>
      <c r="F13" s="479">
        <v>0</v>
      </c>
      <c r="G13" s="479">
        <v>0</v>
      </c>
      <c r="H13" s="479">
        <v>0</v>
      </c>
      <c r="I13" s="479">
        <v>0</v>
      </c>
      <c r="J13" s="490">
        <v>0</v>
      </c>
      <c r="K13" s="542">
        <v>0</v>
      </c>
    </row>
    <row r="14" spans="1:11" s="1183" customFormat="1" ht="18.75" customHeight="1" hidden="1">
      <c r="A14" s="1188" t="s">
        <v>211</v>
      </c>
      <c r="B14" s="1195">
        <v>70095</v>
      </c>
      <c r="C14" s="1218">
        <f>6DOCHODY!E91</f>
        <v>0</v>
      </c>
      <c r="D14" s="1190">
        <f>SUM(E14,K14)</f>
        <v>0</v>
      </c>
      <c r="E14" s="1190">
        <f>SUM(F14,G14,H14,I14,J14)</f>
        <v>0</v>
      </c>
      <c r="F14" s="1190">
        <v>0</v>
      </c>
      <c r="G14" s="1190">
        <v>0</v>
      </c>
      <c r="H14" s="1190">
        <v>0</v>
      </c>
      <c r="I14" s="1190">
        <v>0</v>
      </c>
      <c r="J14" s="1191">
        <v>0</v>
      </c>
      <c r="K14" s="1192">
        <v>0</v>
      </c>
    </row>
    <row r="15" spans="1:11" s="97" customFormat="1" ht="18.75" customHeight="1" hidden="1">
      <c r="A15" s="591" t="s">
        <v>212</v>
      </c>
      <c r="B15" s="584">
        <v>70095</v>
      </c>
      <c r="C15" s="585">
        <f>6DOCHODY!F91</f>
        <v>0</v>
      </c>
      <c r="D15" s="1122">
        <f>SUM(E15,K15)</f>
        <v>0</v>
      </c>
      <c r="E15" s="1122">
        <f>SUM(F15,G15,H15,I15,J15)</f>
        <v>0</v>
      </c>
      <c r="F15" s="1096">
        <v>0</v>
      </c>
      <c r="G15" s="1096">
        <v>0</v>
      </c>
      <c r="H15" s="1096">
        <v>0</v>
      </c>
      <c r="I15" s="1096">
        <v>0</v>
      </c>
      <c r="J15" s="1193">
        <v>0</v>
      </c>
      <c r="K15" s="1194">
        <v>0</v>
      </c>
    </row>
    <row r="16" spans="1:11" s="1183" customFormat="1" ht="18.75" customHeight="1">
      <c r="A16" s="1188" t="s">
        <v>211</v>
      </c>
      <c r="B16" s="1195">
        <v>80195</v>
      </c>
      <c r="C16" s="1218">
        <f>6DOCHODY!E250</f>
        <v>15578</v>
      </c>
      <c r="D16" s="1190">
        <f t="shared" si="2"/>
        <v>15578</v>
      </c>
      <c r="E16" s="1190">
        <f t="shared" si="3"/>
        <v>15578</v>
      </c>
      <c r="F16" s="1190">
        <v>0</v>
      </c>
      <c r="G16" s="1190">
        <v>15578</v>
      </c>
      <c r="H16" s="1190">
        <v>0</v>
      </c>
      <c r="I16" s="1190">
        <v>0</v>
      </c>
      <c r="J16" s="1191">
        <v>0</v>
      </c>
      <c r="K16" s="1192">
        <v>0</v>
      </c>
    </row>
    <row r="17" spans="1:11" s="97" customFormat="1" ht="18.75" customHeight="1">
      <c r="A17" s="591" t="s">
        <v>212</v>
      </c>
      <c r="B17" s="584">
        <v>80195</v>
      </c>
      <c r="C17" s="585">
        <f>6DOCHODY!F250</f>
        <v>7926</v>
      </c>
      <c r="D17" s="1122">
        <f t="shared" si="2"/>
        <v>7926</v>
      </c>
      <c r="E17" s="1122">
        <f t="shared" si="3"/>
        <v>7926</v>
      </c>
      <c r="F17" s="1096">
        <v>0</v>
      </c>
      <c r="G17" s="1096">
        <v>7926</v>
      </c>
      <c r="H17" s="1096">
        <v>0</v>
      </c>
      <c r="I17" s="1096">
        <v>0</v>
      </c>
      <c r="J17" s="1193">
        <v>0</v>
      </c>
      <c r="K17" s="1194">
        <v>0</v>
      </c>
    </row>
    <row r="18" spans="1:11" s="1183" customFormat="1" ht="18.75" customHeight="1" hidden="1">
      <c r="A18" s="1188" t="s">
        <v>211</v>
      </c>
      <c r="B18" s="1195">
        <v>85295</v>
      </c>
      <c r="C18" s="1190">
        <f>SUM(6DOCHODY!E329)</f>
        <v>0</v>
      </c>
      <c r="D18" s="1190">
        <f t="shared" si="2"/>
        <v>0</v>
      </c>
      <c r="E18" s="1190">
        <f t="shared" si="3"/>
        <v>0</v>
      </c>
      <c r="F18" s="1190">
        <v>0</v>
      </c>
      <c r="G18" s="1190">
        <v>0</v>
      </c>
      <c r="H18" s="1190">
        <v>0</v>
      </c>
      <c r="I18" s="1190">
        <v>0</v>
      </c>
      <c r="J18" s="1191">
        <v>0</v>
      </c>
      <c r="K18" s="1192">
        <v>0</v>
      </c>
    </row>
    <row r="19" spans="1:11" s="1200" customFormat="1" ht="18.75" customHeight="1" hidden="1">
      <c r="A19" s="591" t="s">
        <v>212</v>
      </c>
      <c r="B19" s="1120">
        <v>85295</v>
      </c>
      <c r="C19" s="1122">
        <f>SUM(6DOCHODY!F329)</f>
        <v>0</v>
      </c>
      <c r="D19" s="1122">
        <f t="shared" si="2"/>
        <v>0</v>
      </c>
      <c r="E19" s="1122">
        <f t="shared" si="3"/>
        <v>0</v>
      </c>
      <c r="F19" s="1197">
        <v>0</v>
      </c>
      <c r="G19" s="1197">
        <v>0</v>
      </c>
      <c r="H19" s="1197">
        <v>0</v>
      </c>
      <c r="I19" s="1197">
        <v>0</v>
      </c>
      <c r="J19" s="1198">
        <v>0</v>
      </c>
      <c r="K19" s="1199">
        <v>0</v>
      </c>
    </row>
    <row r="20" spans="1:11" s="1183" customFormat="1" ht="18.75" customHeight="1">
      <c r="A20" s="1188" t="s">
        <v>211</v>
      </c>
      <c r="B20" s="1195">
        <v>85415</v>
      </c>
      <c r="C20" s="1190">
        <f>6DOCHODY!E356</f>
        <v>7500</v>
      </c>
      <c r="D20" s="1190">
        <f>SUM(E20,K20)</f>
        <v>7500</v>
      </c>
      <c r="E20" s="1190">
        <f>SUM(F20,G20,H20,I20,J20)</f>
        <v>7500</v>
      </c>
      <c r="F20" s="1190">
        <v>0</v>
      </c>
      <c r="G20" s="1190">
        <v>7500</v>
      </c>
      <c r="H20" s="1190">
        <v>0</v>
      </c>
      <c r="I20" s="1190">
        <v>0</v>
      </c>
      <c r="J20" s="1191">
        <v>0</v>
      </c>
      <c r="K20" s="1192">
        <v>0</v>
      </c>
    </row>
    <row r="21" spans="1:11" s="1200" customFormat="1" ht="18.75" customHeight="1">
      <c r="A21" s="591" t="s">
        <v>212</v>
      </c>
      <c r="B21" s="1120">
        <v>85415</v>
      </c>
      <c r="C21" s="1122">
        <f>6DOCHODY!F356</f>
        <v>7500</v>
      </c>
      <c r="D21" s="1122">
        <f>SUM(E21,K21)</f>
        <v>7500</v>
      </c>
      <c r="E21" s="1122">
        <f>SUM(F21,G21,H21,I21,J21)</f>
        <v>7500</v>
      </c>
      <c r="F21" s="1197">
        <v>0</v>
      </c>
      <c r="G21" s="1197">
        <v>7500</v>
      </c>
      <c r="H21" s="1197">
        <v>0</v>
      </c>
      <c r="I21" s="1197">
        <v>0</v>
      </c>
      <c r="J21" s="1198">
        <v>0</v>
      </c>
      <c r="K21" s="1199">
        <v>0</v>
      </c>
    </row>
    <row r="22" spans="1:11" s="1183" customFormat="1" ht="18.75" customHeight="1">
      <c r="A22" s="1177" t="s">
        <v>211</v>
      </c>
      <c r="B22" s="818" t="s">
        <v>832</v>
      </c>
      <c r="C22" s="1181">
        <f>SUM(C24,C26,C28)</f>
        <v>40349</v>
      </c>
      <c r="D22" s="1181">
        <f>SUM(D24,D26,D28)</f>
        <v>40349</v>
      </c>
      <c r="E22" s="1181">
        <f aca="true" t="shared" si="4" ref="E22:K22">SUM(E24,E26,E28)</f>
        <v>40349</v>
      </c>
      <c r="F22" s="1181">
        <f t="shared" si="4"/>
        <v>10000</v>
      </c>
      <c r="G22" s="1181">
        <f t="shared" si="4"/>
        <v>340</v>
      </c>
      <c r="H22" s="1181">
        <f t="shared" si="4"/>
        <v>188</v>
      </c>
      <c r="I22" s="1181">
        <f t="shared" si="4"/>
        <v>29821</v>
      </c>
      <c r="J22" s="1181">
        <f t="shared" si="4"/>
        <v>0</v>
      </c>
      <c r="K22" s="1181">
        <f t="shared" si="4"/>
        <v>0</v>
      </c>
    </row>
    <row r="23" spans="1:11" s="97" customFormat="1" ht="18.75" customHeight="1">
      <c r="A23" s="1184" t="s">
        <v>212</v>
      </c>
      <c r="B23" s="1185" t="s">
        <v>832</v>
      </c>
      <c r="C23" s="1093">
        <f>SUM(C25,C27,C29)</f>
        <v>40161</v>
      </c>
      <c r="D23" s="1093">
        <f>SUM(D25,D27,D29)</f>
        <v>40161</v>
      </c>
      <c r="E23" s="1093">
        <f aca="true" t="shared" si="5" ref="E23:K23">SUM(E25,E27,E29)</f>
        <v>40161</v>
      </c>
      <c r="F23" s="1093">
        <f t="shared" si="5"/>
        <v>10000</v>
      </c>
      <c r="G23" s="1093">
        <f t="shared" si="5"/>
        <v>340</v>
      </c>
      <c r="H23" s="1093">
        <f t="shared" si="5"/>
        <v>0</v>
      </c>
      <c r="I23" s="1093">
        <f t="shared" si="5"/>
        <v>29821</v>
      </c>
      <c r="J23" s="1093">
        <f t="shared" si="5"/>
        <v>0</v>
      </c>
      <c r="K23" s="1093">
        <f t="shared" si="5"/>
        <v>0</v>
      </c>
    </row>
    <row r="24" spans="1:11" s="1183" customFormat="1" ht="18.75" customHeight="1">
      <c r="A24" s="1188" t="s">
        <v>211</v>
      </c>
      <c r="B24" s="1195">
        <v>75045</v>
      </c>
      <c r="C24" s="1190">
        <f>SUM(6DOCHODY!E497)</f>
        <v>340</v>
      </c>
      <c r="D24" s="1201">
        <f aca="true" t="shared" si="6" ref="D24:D29">SUM(E24,K24)</f>
        <v>340</v>
      </c>
      <c r="E24" s="1190">
        <f aca="true" t="shared" si="7" ref="E24:E29">SUM(F24,G24,H24,I24,J24)</f>
        <v>340</v>
      </c>
      <c r="F24" s="1201">
        <v>0</v>
      </c>
      <c r="G24" s="1201">
        <v>340</v>
      </c>
      <c r="H24" s="1201">
        <v>0</v>
      </c>
      <c r="I24" s="1201">
        <v>0</v>
      </c>
      <c r="J24" s="1202">
        <v>0</v>
      </c>
      <c r="K24" s="1203">
        <v>0</v>
      </c>
    </row>
    <row r="25" spans="1:11" s="97" customFormat="1" ht="18.75" customHeight="1">
      <c r="A25" s="591" t="s">
        <v>212</v>
      </c>
      <c r="B25" s="584">
        <v>75045</v>
      </c>
      <c r="C25" s="1197">
        <f>SUM(6DOCHODY!F497)</f>
        <v>340</v>
      </c>
      <c r="D25" s="1096">
        <f t="shared" si="6"/>
        <v>340</v>
      </c>
      <c r="E25" s="1122">
        <f t="shared" si="7"/>
        <v>340</v>
      </c>
      <c r="F25" s="1096">
        <v>0</v>
      </c>
      <c r="G25" s="1096">
        <v>340</v>
      </c>
      <c r="H25" s="1096">
        <v>0</v>
      </c>
      <c r="I25" s="1096">
        <v>0</v>
      </c>
      <c r="J25" s="1193">
        <v>0</v>
      </c>
      <c r="K25" s="1194">
        <v>0</v>
      </c>
    </row>
    <row r="26" spans="1:11" s="1183" customFormat="1" ht="18.75" customHeight="1">
      <c r="A26" s="1204" t="s">
        <v>211</v>
      </c>
      <c r="B26" s="1206" t="s">
        <v>769</v>
      </c>
      <c r="C26" s="1201">
        <f>6DOCHODY!E559</f>
        <v>40009</v>
      </c>
      <c r="D26" s="1201">
        <f t="shared" si="6"/>
        <v>40009</v>
      </c>
      <c r="E26" s="1190">
        <f t="shared" si="7"/>
        <v>40009</v>
      </c>
      <c r="F26" s="1201">
        <v>10000</v>
      </c>
      <c r="G26" s="1201">
        <v>0</v>
      </c>
      <c r="H26" s="1201">
        <v>188</v>
      </c>
      <c r="I26" s="1201">
        <v>29821</v>
      </c>
      <c r="J26" s="1202">
        <v>0</v>
      </c>
      <c r="K26" s="1203">
        <v>0</v>
      </c>
    </row>
    <row r="27" spans="1:11" s="97" customFormat="1" ht="18.75" customHeight="1" thickBot="1">
      <c r="A27" s="1098" t="s">
        <v>212</v>
      </c>
      <c r="B27" s="1207" t="s">
        <v>769</v>
      </c>
      <c r="C27" s="1100">
        <f>6DOCHODY!F559</f>
        <v>39821</v>
      </c>
      <c r="D27" s="1100">
        <f t="shared" si="6"/>
        <v>39821</v>
      </c>
      <c r="E27" s="1126">
        <f t="shared" si="7"/>
        <v>39821</v>
      </c>
      <c r="F27" s="1100">
        <v>10000</v>
      </c>
      <c r="G27" s="1100">
        <v>0</v>
      </c>
      <c r="H27" s="1100">
        <v>0</v>
      </c>
      <c r="I27" s="1100">
        <v>29821</v>
      </c>
      <c r="J27" s="1208">
        <v>0</v>
      </c>
      <c r="K27" s="1209">
        <v>0</v>
      </c>
    </row>
    <row r="28" spans="1:11" s="534" customFormat="1" ht="18.75" customHeight="1" hidden="1" thickTop="1">
      <c r="A28" s="549" t="s">
        <v>211</v>
      </c>
      <c r="B28" s="553" t="s">
        <v>584</v>
      </c>
      <c r="C28" s="550">
        <f>SUM(6DOCHODY!E573)</f>
        <v>0</v>
      </c>
      <c r="D28" s="550">
        <f t="shared" si="6"/>
        <v>0</v>
      </c>
      <c r="E28" s="539">
        <f t="shared" si="7"/>
        <v>0</v>
      </c>
      <c r="F28" s="550">
        <v>0</v>
      </c>
      <c r="G28" s="550">
        <v>0</v>
      </c>
      <c r="H28" s="550">
        <v>0</v>
      </c>
      <c r="I28" s="550">
        <v>0</v>
      </c>
      <c r="J28" s="551">
        <v>0</v>
      </c>
      <c r="K28" s="552">
        <v>0</v>
      </c>
    </row>
    <row r="29" spans="1:11" ht="18.75" customHeight="1" hidden="1" thickBot="1">
      <c r="A29" s="481" t="s">
        <v>212</v>
      </c>
      <c r="B29" s="554" t="s">
        <v>584</v>
      </c>
      <c r="C29" s="482">
        <f>SUM(6DOCHODY!F573)</f>
        <v>0</v>
      </c>
      <c r="D29" s="482">
        <f t="shared" si="6"/>
        <v>0</v>
      </c>
      <c r="E29" s="494">
        <f t="shared" si="7"/>
        <v>0</v>
      </c>
      <c r="F29" s="482">
        <v>0</v>
      </c>
      <c r="G29" s="482">
        <v>0</v>
      </c>
      <c r="H29" s="482">
        <v>0</v>
      </c>
      <c r="I29" s="482">
        <v>0</v>
      </c>
      <c r="J29" s="555">
        <v>0</v>
      </c>
      <c r="K29" s="556">
        <v>0</v>
      </c>
    </row>
    <row r="30" spans="1:11" s="1212" customFormat="1" ht="18.75" customHeight="1" thickTop="1">
      <c r="A30" s="1080" t="s">
        <v>829</v>
      </c>
      <c r="B30" s="1081" t="s">
        <v>828</v>
      </c>
      <c r="C30" s="1210">
        <f aca="true" t="shared" si="8" ref="C30:K30">SUM(C10,C22)</f>
        <v>63427</v>
      </c>
      <c r="D30" s="1210">
        <f t="shared" si="8"/>
        <v>63427</v>
      </c>
      <c r="E30" s="1210">
        <f t="shared" si="8"/>
        <v>63427</v>
      </c>
      <c r="F30" s="1210">
        <f t="shared" si="8"/>
        <v>10000</v>
      </c>
      <c r="G30" s="1210">
        <f t="shared" si="8"/>
        <v>23418</v>
      </c>
      <c r="H30" s="1210">
        <f t="shared" si="8"/>
        <v>188</v>
      </c>
      <c r="I30" s="1210">
        <f t="shared" si="8"/>
        <v>29821</v>
      </c>
      <c r="J30" s="1210">
        <f t="shared" si="8"/>
        <v>0</v>
      </c>
      <c r="K30" s="1211">
        <f t="shared" si="8"/>
        <v>0</v>
      </c>
    </row>
    <row r="31" spans="1:11" s="98" customFormat="1" ht="18.75" customHeight="1" thickBot="1">
      <c r="A31" s="1213" t="s">
        <v>830</v>
      </c>
      <c r="B31" s="1214" t="s">
        <v>828</v>
      </c>
      <c r="C31" s="1215">
        <f aca="true" t="shared" si="9" ref="C31:K31">SUM(C11,C23)</f>
        <v>55587</v>
      </c>
      <c r="D31" s="1215">
        <f t="shared" si="9"/>
        <v>55587</v>
      </c>
      <c r="E31" s="1215">
        <f t="shared" si="9"/>
        <v>55587</v>
      </c>
      <c r="F31" s="1215">
        <f t="shared" si="9"/>
        <v>10000</v>
      </c>
      <c r="G31" s="1215">
        <f t="shared" si="9"/>
        <v>15766</v>
      </c>
      <c r="H31" s="1215">
        <f t="shared" si="9"/>
        <v>0</v>
      </c>
      <c r="I31" s="1215">
        <f t="shared" si="9"/>
        <v>29821</v>
      </c>
      <c r="J31" s="1215">
        <f t="shared" si="9"/>
        <v>0</v>
      </c>
      <c r="K31" s="1216">
        <f t="shared" si="9"/>
        <v>0</v>
      </c>
    </row>
    <row r="32" spans="1:2" s="97" customFormat="1" ht="12.75">
      <c r="A32" s="100"/>
      <c r="B32" s="100"/>
    </row>
    <row r="33" spans="1:11" s="97" customFormat="1" ht="23.25" customHeight="1" hidden="1">
      <c r="A33" s="100" t="s">
        <v>1647</v>
      </c>
      <c r="B33" s="100" t="s">
        <v>710</v>
      </c>
      <c r="C33" s="583">
        <v>89394.22</v>
      </c>
      <c r="D33" s="583">
        <v>89394.22</v>
      </c>
      <c r="E33" s="583">
        <v>89394.22</v>
      </c>
      <c r="F33" s="583">
        <v>19933.2</v>
      </c>
      <c r="G33" s="583">
        <v>69461.02</v>
      </c>
      <c r="H33" s="583">
        <v>0</v>
      </c>
      <c r="I33" s="583">
        <v>0</v>
      </c>
      <c r="J33" s="583">
        <v>0</v>
      </c>
      <c r="K33" s="583">
        <v>0</v>
      </c>
    </row>
    <row r="34" spans="1:11" s="98" customFormat="1" ht="12.75" hidden="1">
      <c r="A34" s="96"/>
      <c r="B34" s="96" t="s">
        <v>1663</v>
      </c>
      <c r="C34" s="609">
        <f aca="true" t="shared" si="10" ref="C34:K34">C31-C33</f>
        <v>-33807.22</v>
      </c>
      <c r="D34" s="609">
        <f t="shared" si="10"/>
        <v>-33807.22</v>
      </c>
      <c r="E34" s="609">
        <f t="shared" si="10"/>
        <v>-33807.22</v>
      </c>
      <c r="F34" s="609">
        <f t="shared" si="10"/>
        <v>-9933.2</v>
      </c>
      <c r="G34" s="609">
        <f t="shared" si="10"/>
        <v>-53695.020000000004</v>
      </c>
      <c r="H34" s="609">
        <f t="shared" si="10"/>
        <v>0</v>
      </c>
      <c r="I34" s="609">
        <f t="shared" si="10"/>
        <v>29821</v>
      </c>
      <c r="J34" s="609">
        <f t="shared" si="10"/>
        <v>0</v>
      </c>
      <c r="K34" s="609">
        <f t="shared" si="10"/>
        <v>0</v>
      </c>
    </row>
    <row r="35" spans="1:2" s="97" customFormat="1" ht="12.75" hidden="1">
      <c r="A35" s="100"/>
      <c r="B35" s="100"/>
    </row>
    <row r="36" spans="1:4" ht="12.75">
      <c r="A36" s="2078"/>
      <c r="B36" s="2078"/>
      <c r="C36" s="361"/>
      <c r="D36" s="361"/>
    </row>
  </sheetData>
  <sheetProtection password="CF53" sheet="1" formatRows="0" insertColumns="0" insertRows="0" insertHyperlinks="0" deleteColumns="0" deleteRows="0" sort="0" autoFilter="0" pivotTables="0"/>
  <mergeCells count="14">
    <mergeCell ref="A36:B36"/>
    <mergeCell ref="H7:H8"/>
    <mergeCell ref="I7:I8"/>
    <mergeCell ref="F7:G7"/>
    <mergeCell ref="E6:E8"/>
    <mergeCell ref="F6:J6"/>
    <mergeCell ref="J7:J8"/>
    <mergeCell ref="A3:K3"/>
    <mergeCell ref="A5:A8"/>
    <mergeCell ref="C5:C8"/>
    <mergeCell ref="D5:D8"/>
    <mergeCell ref="B5:B8"/>
    <mergeCell ref="E5:K5"/>
    <mergeCell ref="K6:K8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K22"/>
  <sheetViews>
    <sheetView defaultGridColor="0" view="pageBreakPreview" zoomScaleSheetLayoutView="100" zoomScalePageLayoutView="0" colorId="8" workbookViewId="0" topLeftCell="A4">
      <selection activeCell="A15" sqref="A15:IV22"/>
    </sheetView>
  </sheetViews>
  <sheetFormatPr defaultColWidth="9.00390625" defaultRowHeight="12.75"/>
  <cols>
    <col min="1" max="1" width="13.00390625" style="368" customWidth="1"/>
    <col min="2" max="2" width="11.25390625" style="368" customWidth="1"/>
    <col min="3" max="3" width="11.125" style="357" customWidth="1"/>
    <col min="4" max="4" width="12.625" style="357" customWidth="1"/>
    <col min="5" max="5" width="12.00390625" style="357" customWidth="1"/>
    <col min="6" max="6" width="13.75390625" style="357" customWidth="1"/>
    <col min="7" max="7" width="12.625" style="357" customWidth="1"/>
    <col min="8" max="8" width="11.25390625" style="357" customWidth="1"/>
    <col min="9" max="9" width="11.875" style="357" customWidth="1"/>
    <col min="10" max="10" width="10.125" style="357" customWidth="1"/>
    <col min="11" max="11" width="10.75390625" style="357" customWidth="1"/>
    <col min="12" max="16384" width="9.125" style="357" customWidth="1"/>
  </cols>
  <sheetData>
    <row r="1" spans="1:11" s="97" customFormat="1" ht="12.75">
      <c r="A1" s="1151"/>
      <c r="B1" s="1151"/>
      <c r="C1" s="1175"/>
      <c r="D1" s="1175"/>
      <c r="E1" s="1175"/>
      <c r="F1" s="1175"/>
      <c r="G1" s="1175"/>
      <c r="H1" s="1175"/>
      <c r="I1" s="1105"/>
      <c r="J1" s="1105"/>
      <c r="K1" s="1761" t="s">
        <v>183</v>
      </c>
    </row>
    <row r="2" spans="1:9" s="97" customFormat="1" ht="21" customHeight="1">
      <c r="A2" s="1151"/>
      <c r="B2" s="1151"/>
      <c r="C2" s="1175"/>
      <c r="D2" s="1175"/>
      <c r="E2" s="1175"/>
      <c r="F2" s="1175"/>
      <c r="G2" s="1175"/>
      <c r="H2" s="1175"/>
      <c r="I2" s="1175"/>
    </row>
    <row r="3" spans="1:11" s="97" customFormat="1" ht="51" customHeight="1">
      <c r="A3" s="1999" t="s">
        <v>407</v>
      </c>
      <c r="B3" s="1999"/>
      <c r="C3" s="1999"/>
      <c r="D3" s="1999"/>
      <c r="E3" s="1999"/>
      <c r="F3" s="1999"/>
      <c r="G3" s="1999"/>
      <c r="H3" s="1999"/>
      <c r="I3" s="1999"/>
      <c r="J3" s="1999"/>
      <c r="K3" s="1999"/>
    </row>
    <row r="4" spans="1:11" s="97" customFormat="1" ht="24" customHeight="1" thickBot="1">
      <c r="A4" s="1151"/>
      <c r="B4" s="1151"/>
      <c r="C4" s="1175"/>
      <c r="D4" s="1175"/>
      <c r="E4" s="1175"/>
      <c r="F4" s="1175"/>
      <c r="G4" s="1175"/>
      <c r="H4" s="1175"/>
      <c r="I4" s="810"/>
      <c r="J4" s="810"/>
      <c r="K4" s="810" t="s">
        <v>208</v>
      </c>
    </row>
    <row r="5" spans="1:11" s="100" customFormat="1" ht="17.25" customHeight="1">
      <c r="A5" s="2072" t="s">
        <v>210</v>
      </c>
      <c r="B5" s="2054" t="s">
        <v>209</v>
      </c>
      <c r="C5" s="2053" t="s">
        <v>194</v>
      </c>
      <c r="D5" s="2053" t="s">
        <v>75</v>
      </c>
      <c r="E5" s="2053" t="s">
        <v>1234</v>
      </c>
      <c r="F5" s="2053"/>
      <c r="G5" s="2053"/>
      <c r="H5" s="2053"/>
      <c r="I5" s="2053"/>
      <c r="J5" s="2075"/>
      <c r="K5" s="2076"/>
    </row>
    <row r="6" spans="1:11" s="100" customFormat="1" ht="17.25" customHeight="1">
      <c r="A6" s="1969"/>
      <c r="B6" s="1971"/>
      <c r="C6" s="1973"/>
      <c r="D6" s="1973"/>
      <c r="E6" s="2069" t="s">
        <v>709</v>
      </c>
      <c r="F6" s="2060" t="s">
        <v>981</v>
      </c>
      <c r="G6" s="2061"/>
      <c r="H6" s="2061"/>
      <c r="I6" s="2061"/>
      <c r="J6" s="2062"/>
      <c r="K6" s="2064" t="s">
        <v>735</v>
      </c>
    </row>
    <row r="7" spans="1:11" s="100" customFormat="1" ht="16.5" customHeight="1">
      <c r="A7" s="2073"/>
      <c r="B7" s="2074"/>
      <c r="C7" s="2074"/>
      <c r="D7" s="2063"/>
      <c r="E7" s="2077"/>
      <c r="F7" s="2063" t="s">
        <v>74</v>
      </c>
      <c r="G7" s="2063"/>
      <c r="H7" s="2063" t="s">
        <v>71</v>
      </c>
      <c r="I7" s="2067" t="s">
        <v>72</v>
      </c>
      <c r="J7" s="2069" t="s">
        <v>73</v>
      </c>
      <c r="K7" s="2065"/>
    </row>
    <row r="8" spans="1:11" s="100" customFormat="1" ht="72" customHeight="1">
      <c r="A8" s="2073"/>
      <c r="B8" s="2074"/>
      <c r="C8" s="2074"/>
      <c r="D8" s="2063"/>
      <c r="E8" s="1973"/>
      <c r="F8" s="1178" t="s">
        <v>408</v>
      </c>
      <c r="G8" s="1178" t="s">
        <v>70</v>
      </c>
      <c r="H8" s="2063"/>
      <c r="I8" s="2068"/>
      <c r="J8" s="1973"/>
      <c r="K8" s="2066"/>
    </row>
    <row r="9" spans="1:11" s="97" customFormat="1" ht="14.25" customHeight="1">
      <c r="A9" s="591">
        <v>1</v>
      </c>
      <c r="B9" s="584">
        <v>2</v>
      </c>
      <c r="C9" s="584">
        <v>3</v>
      </c>
      <c r="D9" s="584">
        <v>4</v>
      </c>
      <c r="E9" s="584">
        <v>5</v>
      </c>
      <c r="F9" s="584">
        <v>6</v>
      </c>
      <c r="G9" s="584">
        <v>7</v>
      </c>
      <c r="H9" s="584">
        <v>8</v>
      </c>
      <c r="I9" s="584">
        <v>9</v>
      </c>
      <c r="J9" s="584">
        <v>10</v>
      </c>
      <c r="K9" s="1180">
        <v>11</v>
      </c>
    </row>
    <row r="10" spans="1:11" s="125" customFormat="1" ht="19.5" customHeight="1">
      <c r="A10" s="2013" t="s">
        <v>1658</v>
      </c>
      <c r="B10" s="2014"/>
      <c r="C10" s="2014"/>
      <c r="D10" s="2014"/>
      <c r="E10" s="2014"/>
      <c r="F10" s="2014"/>
      <c r="G10" s="2014"/>
      <c r="H10" s="2014"/>
      <c r="I10" s="2014"/>
      <c r="J10" s="2014"/>
      <c r="K10" s="2080"/>
    </row>
    <row r="11" spans="1:11" s="1183" customFormat="1" ht="19.5" customHeight="1">
      <c r="A11" s="1188" t="s">
        <v>211</v>
      </c>
      <c r="B11" s="1195">
        <v>85204</v>
      </c>
      <c r="C11" s="1190">
        <f>6DOCHODY!E562</f>
        <v>120170</v>
      </c>
      <c r="D11" s="1190">
        <f>SUM(E11,K11)</f>
        <v>120170</v>
      </c>
      <c r="E11" s="1190">
        <f>SUM(F11,G11,H11,I11,J11)</f>
        <v>120170</v>
      </c>
      <c r="F11" s="1190">
        <v>0</v>
      </c>
      <c r="G11" s="1190">
        <v>0</v>
      </c>
      <c r="H11" s="1190">
        <v>0</v>
      </c>
      <c r="I11" s="1190">
        <v>120170</v>
      </c>
      <c r="J11" s="1190">
        <v>0</v>
      </c>
      <c r="K11" s="1192">
        <v>0</v>
      </c>
    </row>
    <row r="12" spans="1:11" s="125" customFormat="1" ht="19.5" customHeight="1">
      <c r="A12" s="591" t="s">
        <v>212</v>
      </c>
      <c r="B12" s="1120">
        <v>85204</v>
      </c>
      <c r="C12" s="1197">
        <f>6DOCHODY!F562</f>
        <v>111229.83</v>
      </c>
      <c r="D12" s="1197">
        <f>SUM(E12,K12)</f>
        <v>113327.73</v>
      </c>
      <c r="E12" s="1197">
        <f>SUM(F12,G12,H12,I12,J12)</f>
        <v>113327.73</v>
      </c>
      <c r="F12" s="1122">
        <v>0</v>
      </c>
      <c r="G12" s="1122">
        <v>0</v>
      </c>
      <c r="H12" s="1122">
        <v>0</v>
      </c>
      <c r="I12" s="1122">
        <v>113327.73</v>
      </c>
      <c r="J12" s="1122">
        <v>0</v>
      </c>
      <c r="K12" s="1220">
        <v>0</v>
      </c>
    </row>
    <row r="13" spans="1:11" s="1212" customFormat="1" ht="19.5" customHeight="1">
      <c r="A13" s="1177" t="s">
        <v>829</v>
      </c>
      <c r="B13" s="1178" t="s">
        <v>828</v>
      </c>
      <c r="C13" s="1181">
        <f>SUM(C11)</f>
        <v>120170</v>
      </c>
      <c r="D13" s="1181">
        <f>SUM(E13,K13)</f>
        <v>120170</v>
      </c>
      <c r="E13" s="1181">
        <f>SUM(F13,G13,H13,I13,J13)</f>
        <v>120170</v>
      </c>
      <c r="F13" s="1181">
        <f aca="true" t="shared" si="0" ref="F13:K13">SUM(F11)</f>
        <v>0</v>
      </c>
      <c r="G13" s="1181">
        <f t="shared" si="0"/>
        <v>0</v>
      </c>
      <c r="H13" s="1181">
        <f t="shared" si="0"/>
        <v>0</v>
      </c>
      <c r="I13" s="1181">
        <f t="shared" si="0"/>
        <v>120170</v>
      </c>
      <c r="J13" s="1181">
        <f t="shared" si="0"/>
        <v>0</v>
      </c>
      <c r="K13" s="1182">
        <f t="shared" si="0"/>
        <v>0</v>
      </c>
    </row>
    <row r="14" spans="1:11" s="98" customFormat="1" ht="19.5" customHeight="1" thickBot="1">
      <c r="A14" s="1213" t="s">
        <v>830</v>
      </c>
      <c r="B14" s="1214" t="s">
        <v>828</v>
      </c>
      <c r="C14" s="1215">
        <f>SUM(C12)</f>
        <v>111229.83</v>
      </c>
      <c r="D14" s="1221">
        <f>SUM(E14,K14)</f>
        <v>113327.73</v>
      </c>
      <c r="E14" s="1221">
        <f>SUM(F14,G14,H14,I14,J14)</f>
        <v>113327.73</v>
      </c>
      <c r="F14" s="1215">
        <f aca="true" t="shared" si="1" ref="F14:K14">SUM(F12)</f>
        <v>0</v>
      </c>
      <c r="G14" s="1215">
        <f t="shared" si="1"/>
        <v>0</v>
      </c>
      <c r="H14" s="1215">
        <f t="shared" si="1"/>
        <v>0</v>
      </c>
      <c r="I14" s="1215">
        <f t="shared" si="1"/>
        <v>113327.73</v>
      </c>
      <c r="J14" s="1215">
        <f t="shared" si="1"/>
        <v>0</v>
      </c>
      <c r="K14" s="1216">
        <f t="shared" si="1"/>
        <v>0</v>
      </c>
    </row>
    <row r="15" spans="1:2" s="97" customFormat="1" ht="12.75" hidden="1">
      <c r="A15" s="100"/>
      <c r="B15" s="100"/>
    </row>
    <row r="16" spans="1:4" s="97" customFormat="1" ht="12.75" hidden="1">
      <c r="A16" s="100"/>
      <c r="B16" s="100"/>
      <c r="C16" s="583">
        <f>C14</f>
        <v>111229.83</v>
      </c>
      <c r="D16" s="97" t="s">
        <v>711</v>
      </c>
    </row>
    <row r="17" spans="1:4" s="97" customFormat="1" ht="12.75" hidden="1">
      <c r="A17" s="100"/>
      <c r="B17" s="100"/>
      <c r="C17" s="583">
        <f>D14</f>
        <v>113327.73</v>
      </c>
      <c r="D17" s="97" t="s">
        <v>967</v>
      </c>
    </row>
    <row r="18" spans="1:9" s="1136" customFormat="1" ht="12.75" hidden="1">
      <c r="A18" s="2079" t="s">
        <v>1689</v>
      </c>
      <c r="B18" s="2079"/>
      <c r="C18" s="1835">
        <f>C16-C17</f>
        <v>-2097.899999999994</v>
      </c>
      <c r="D18" s="1836" t="s">
        <v>969</v>
      </c>
      <c r="E18" s="1836"/>
      <c r="F18" s="1836" t="s">
        <v>968</v>
      </c>
      <c r="G18" s="1836"/>
      <c r="H18" s="1836"/>
      <c r="I18" s="1836"/>
    </row>
    <row r="19" ht="12.75" hidden="1"/>
    <row r="20" ht="12.75" hidden="1"/>
    <row r="21" ht="12.75" hidden="1"/>
    <row r="22" spans="1:3" s="1223" customFormat="1" ht="18.75" hidden="1">
      <c r="A22" s="1222"/>
      <c r="B22" s="1222"/>
      <c r="C22" s="1223" t="s">
        <v>195</v>
      </c>
    </row>
  </sheetData>
  <sheetProtection password="CF53" sheet="1" formatRows="0" insertColumns="0" insertRows="0" insertHyperlinks="0" deleteColumns="0" deleteRows="0" sort="0" autoFilter="0" pivotTables="0"/>
  <mergeCells count="15">
    <mergeCell ref="A3:K3"/>
    <mergeCell ref="C5:C8"/>
    <mergeCell ref="D5:D8"/>
    <mergeCell ref="B5:B8"/>
    <mergeCell ref="I7:I8"/>
    <mergeCell ref="F7:G7"/>
    <mergeCell ref="H7:H8"/>
    <mergeCell ref="J7:J8"/>
    <mergeCell ref="A5:A8"/>
    <mergeCell ref="A18:B18"/>
    <mergeCell ref="E5:K5"/>
    <mergeCell ref="E6:E8"/>
    <mergeCell ref="F6:J6"/>
    <mergeCell ref="K6:K8"/>
    <mergeCell ref="A10:K10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J79"/>
  <sheetViews>
    <sheetView view="pageBreakPreview" zoomScaleSheetLayoutView="100" zoomScalePageLayoutView="0" workbookViewId="0" topLeftCell="A1">
      <selection activeCell="H72" sqref="H72"/>
    </sheetView>
  </sheetViews>
  <sheetFormatPr defaultColWidth="9.00390625" defaultRowHeight="12" customHeight="1"/>
  <cols>
    <col min="1" max="1" width="3.625" style="559" customWidth="1"/>
    <col min="2" max="2" width="8.25390625" style="558" customWidth="1"/>
    <col min="3" max="3" width="65.75390625" style="560" customWidth="1"/>
    <col min="4" max="4" width="12.75390625" style="558" customWidth="1"/>
    <col min="5" max="5" width="12.125" style="558" customWidth="1"/>
    <col min="6" max="6" width="6.375" style="561" customWidth="1"/>
    <col min="7" max="7" width="14.625" style="561" customWidth="1"/>
    <col min="8" max="8" width="8.25390625" style="561" customWidth="1"/>
    <col min="9" max="9" width="12.00390625" style="558" hidden="1" customWidth="1"/>
    <col min="10" max="10" width="11.375" style="558" hidden="1" customWidth="1"/>
    <col min="11" max="12" width="0" style="558" hidden="1" customWidth="1"/>
    <col min="13" max="16384" width="9.125" style="558" customWidth="1"/>
  </cols>
  <sheetData>
    <row r="1" spans="1:8" s="1406" customFormat="1" ht="12" customHeight="1">
      <c r="A1" s="1405"/>
      <c r="C1" s="1407"/>
      <c r="F1" s="1408"/>
      <c r="G1" s="2101" t="s">
        <v>187</v>
      </c>
      <c r="H1" s="2101"/>
    </row>
    <row r="2" spans="1:8" s="1406" customFormat="1" ht="38.25" customHeight="1">
      <c r="A2" s="2112" t="s">
        <v>292</v>
      </c>
      <c r="B2" s="2112"/>
      <c r="C2" s="2112"/>
      <c r="D2" s="2112"/>
      <c r="E2" s="2112"/>
      <c r="F2" s="2112"/>
      <c r="G2" s="2112"/>
      <c r="H2" s="2112"/>
    </row>
    <row r="3" spans="1:8" s="1406" customFormat="1" ht="12" customHeight="1">
      <c r="A3" s="1405"/>
      <c r="C3" s="1407"/>
      <c r="F3" s="1409"/>
      <c r="G3" s="1409"/>
      <c r="H3" s="1409" t="s">
        <v>208</v>
      </c>
    </row>
    <row r="4" spans="1:8" s="1405" customFormat="1" ht="12" customHeight="1">
      <c r="A4" s="2100" t="s">
        <v>1219</v>
      </c>
      <c r="B4" s="2100" t="s">
        <v>209</v>
      </c>
      <c r="C4" s="2100" t="s">
        <v>210</v>
      </c>
      <c r="D4" s="2100" t="s">
        <v>301</v>
      </c>
      <c r="E4" s="2100"/>
      <c r="F4" s="2108" t="s">
        <v>213</v>
      </c>
      <c r="G4" s="2123" t="s">
        <v>169</v>
      </c>
      <c r="H4" s="2125" t="s">
        <v>188</v>
      </c>
    </row>
    <row r="5" spans="1:10" s="1405" customFormat="1" ht="27.75" customHeight="1">
      <c r="A5" s="2100"/>
      <c r="B5" s="2100"/>
      <c r="C5" s="2124"/>
      <c r="D5" s="1410" t="s">
        <v>801</v>
      </c>
      <c r="E5" s="1410" t="s">
        <v>1647</v>
      </c>
      <c r="F5" s="2108"/>
      <c r="G5" s="2123"/>
      <c r="H5" s="2126"/>
      <c r="I5" s="2121" t="s">
        <v>167</v>
      </c>
      <c r="J5" s="2122"/>
    </row>
    <row r="6" spans="1:10" s="1453" customFormat="1" ht="19.5" customHeight="1">
      <c r="A6" s="2118" t="s">
        <v>802</v>
      </c>
      <c r="B6" s="2119"/>
      <c r="C6" s="2120"/>
      <c r="D6" s="1449">
        <f>SUM(D11,D14,D17)</f>
        <v>368000</v>
      </c>
      <c r="E6" s="1449">
        <f>SUM(E11,E14,E17)</f>
        <v>287530.24</v>
      </c>
      <c r="F6" s="1450">
        <f>E6*100/D6</f>
        <v>78.13321739130434</v>
      </c>
      <c r="G6" s="1451" t="s">
        <v>189</v>
      </c>
      <c r="H6" s="1451" t="s">
        <v>189</v>
      </c>
      <c r="I6" s="1452">
        <v>769024</v>
      </c>
      <c r="J6" s="1452">
        <v>334494.21</v>
      </c>
    </row>
    <row r="7" spans="1:8" s="1415" customFormat="1" ht="12" customHeight="1" hidden="1">
      <c r="A7" s="2109" t="s">
        <v>1222</v>
      </c>
      <c r="B7" s="2109">
        <v>75095</v>
      </c>
      <c r="C7" s="2113" t="s">
        <v>168</v>
      </c>
      <c r="D7" s="1413"/>
      <c r="E7" s="1413"/>
      <c r="F7" s="1414" t="e">
        <f aca="true" t="shared" si="0" ref="F7:F51">E7*100/D7</f>
        <v>#DIV/0!</v>
      </c>
      <c r="G7" s="1454"/>
      <c r="H7" s="1454"/>
    </row>
    <row r="8" spans="1:8" s="1415" customFormat="1" ht="12" customHeight="1" hidden="1">
      <c r="A8" s="2110"/>
      <c r="B8" s="2110"/>
      <c r="C8" s="2114"/>
      <c r="D8" s="1441"/>
      <c r="E8" s="1441"/>
      <c r="F8" s="1442" t="e">
        <f t="shared" si="0"/>
        <v>#DIV/0!</v>
      </c>
      <c r="G8" s="1440"/>
      <c r="H8" s="1440"/>
    </row>
    <row r="9" spans="1:8" s="1415" customFormat="1" ht="12" customHeight="1" hidden="1">
      <c r="A9" s="2110"/>
      <c r="B9" s="2110"/>
      <c r="C9" s="2114"/>
      <c r="D9" s="1441"/>
      <c r="E9" s="1441"/>
      <c r="F9" s="1442" t="e">
        <f t="shared" si="0"/>
        <v>#DIV/0!</v>
      </c>
      <c r="G9" s="1440"/>
      <c r="H9" s="1440"/>
    </row>
    <row r="10" spans="1:8" s="1415" customFormat="1" ht="12" customHeight="1" hidden="1">
      <c r="A10" s="2110"/>
      <c r="B10" s="2110"/>
      <c r="C10" s="2114"/>
      <c r="D10" s="1441"/>
      <c r="E10" s="1441"/>
      <c r="F10" s="1442" t="e">
        <f t="shared" si="0"/>
        <v>#DIV/0!</v>
      </c>
      <c r="G10" s="1440"/>
      <c r="H10" s="1440"/>
    </row>
    <row r="11" spans="1:10" s="1415" customFormat="1" ht="29.25" customHeight="1" hidden="1">
      <c r="A11" s="2110"/>
      <c r="B11" s="2110"/>
      <c r="C11" s="2114"/>
      <c r="D11" s="1441">
        <f>SUM(D12:D13)</f>
        <v>0</v>
      </c>
      <c r="E11" s="1441">
        <f>SUM(E12:E13)</f>
        <v>0</v>
      </c>
      <c r="F11" s="1442" t="e">
        <f t="shared" si="0"/>
        <v>#DIV/0!</v>
      </c>
      <c r="G11" s="2102" t="s">
        <v>174</v>
      </c>
      <c r="H11" s="2105"/>
      <c r="I11" s="1431">
        <v>894345</v>
      </c>
      <c r="J11" s="1443">
        <v>534448.67</v>
      </c>
    </row>
    <row r="12" spans="1:10" s="1448" customFormat="1" ht="15.75" customHeight="1" hidden="1">
      <c r="A12" s="2110"/>
      <c r="B12" s="2110"/>
      <c r="C12" s="1444" t="s">
        <v>185</v>
      </c>
      <c r="D12" s="1417"/>
      <c r="E12" s="1417">
        <v>0</v>
      </c>
      <c r="F12" s="1445" t="e">
        <f t="shared" si="0"/>
        <v>#DIV/0!</v>
      </c>
      <c r="G12" s="2103"/>
      <c r="H12" s="2106"/>
      <c r="I12" s="1446"/>
      <c r="J12" s="1447"/>
    </row>
    <row r="13" spans="1:8" s="1448" customFormat="1" ht="15.75" customHeight="1" hidden="1">
      <c r="A13" s="2111"/>
      <c r="B13" s="2111"/>
      <c r="C13" s="1419" t="s">
        <v>186</v>
      </c>
      <c r="D13" s="1420"/>
      <c r="E13" s="1420">
        <v>0</v>
      </c>
      <c r="F13" s="1421" t="e">
        <f t="shared" si="0"/>
        <v>#DIV/0!</v>
      </c>
      <c r="G13" s="2104"/>
      <c r="H13" s="2107"/>
    </row>
    <row r="14" spans="1:8" s="1415" customFormat="1" ht="33" customHeight="1">
      <c r="A14" s="2091" t="s">
        <v>1222</v>
      </c>
      <c r="B14" s="2094" t="s">
        <v>905</v>
      </c>
      <c r="C14" s="1422" t="s">
        <v>1424</v>
      </c>
      <c r="D14" s="1413">
        <f>SUM(D15:D16)</f>
        <v>368000</v>
      </c>
      <c r="E14" s="1413">
        <f>SUM(E15:E16)</f>
        <v>287530.24</v>
      </c>
      <c r="F14" s="1414">
        <f t="shared" si="0"/>
        <v>78.13321739130434</v>
      </c>
      <c r="G14" s="2083" t="s">
        <v>172</v>
      </c>
      <c r="H14" s="2094" t="s">
        <v>1362</v>
      </c>
    </row>
    <row r="15" spans="1:8" s="1415" customFormat="1" ht="15.75" customHeight="1">
      <c r="A15" s="2092"/>
      <c r="B15" s="2095"/>
      <c r="C15" s="1428" t="s">
        <v>185</v>
      </c>
      <c r="D15" s="1436">
        <v>315335</v>
      </c>
      <c r="E15" s="1436">
        <v>239045.54</v>
      </c>
      <c r="F15" s="1430">
        <f t="shared" si="0"/>
        <v>75.80685302931802</v>
      </c>
      <c r="G15" s="2084"/>
      <c r="H15" s="2095"/>
    </row>
    <row r="16" spans="1:8" s="1415" customFormat="1" ht="15.75" customHeight="1">
      <c r="A16" s="2093"/>
      <c r="B16" s="2096"/>
      <c r="C16" s="1419" t="s">
        <v>186</v>
      </c>
      <c r="D16" s="1420">
        <f>15865+36800</f>
        <v>52665</v>
      </c>
      <c r="E16" s="1420">
        <f>11684.7+36800</f>
        <v>48484.7</v>
      </c>
      <c r="F16" s="1421">
        <f t="shared" si="0"/>
        <v>92.0624703313396</v>
      </c>
      <c r="G16" s="2085"/>
      <c r="H16" s="2096"/>
    </row>
    <row r="17" spans="1:8" s="1415" customFormat="1" ht="27" customHeight="1" hidden="1">
      <c r="A17" s="2109" t="s">
        <v>1548</v>
      </c>
      <c r="B17" s="2109">
        <v>85395</v>
      </c>
      <c r="C17" s="1422" t="s">
        <v>910</v>
      </c>
      <c r="D17" s="1413">
        <f>SUM(D18:D19)</f>
        <v>0</v>
      </c>
      <c r="E17" s="1413">
        <f>SUM(E18:E19)</f>
        <v>0</v>
      </c>
      <c r="F17" s="1414" t="e">
        <f t="shared" si="0"/>
        <v>#DIV/0!</v>
      </c>
      <c r="G17" s="2083" t="s">
        <v>170</v>
      </c>
      <c r="H17" s="2115"/>
    </row>
    <row r="18" spans="1:8" s="1415" customFormat="1" ht="15.75" customHeight="1" hidden="1">
      <c r="A18" s="2110"/>
      <c r="B18" s="2110"/>
      <c r="C18" s="1423" t="s">
        <v>185</v>
      </c>
      <c r="D18" s="1424"/>
      <c r="E18" s="1424"/>
      <c r="F18" s="1425" t="e">
        <f t="shared" si="0"/>
        <v>#DIV/0!</v>
      </c>
      <c r="G18" s="2084"/>
      <c r="H18" s="2116"/>
    </row>
    <row r="19" spans="1:8" s="1415" customFormat="1" ht="15.75" customHeight="1" hidden="1">
      <c r="A19" s="2111"/>
      <c r="B19" s="2111"/>
      <c r="C19" s="1419" t="s">
        <v>186</v>
      </c>
      <c r="D19" s="1426"/>
      <c r="E19" s="1426"/>
      <c r="F19" s="1427" t="e">
        <f t="shared" si="0"/>
        <v>#DIV/0!</v>
      </c>
      <c r="G19" s="2085"/>
      <c r="H19" s="2117"/>
    </row>
    <row r="20" spans="1:10" s="1453" customFormat="1" ht="19.5" customHeight="1">
      <c r="A20" s="2118" t="s">
        <v>803</v>
      </c>
      <c r="B20" s="2119"/>
      <c r="C20" s="2120"/>
      <c r="D20" s="1449">
        <f>SUM(D21,D24,D27,D30,D33,D36,D39,D42,D45,D48)</f>
        <v>10139976</v>
      </c>
      <c r="E20" s="1449">
        <f>SUM(E21,E24,E27,E30,E33,E36,E39,E42,E45,E48)</f>
        <v>9104127.05</v>
      </c>
      <c r="F20" s="1450">
        <f t="shared" si="0"/>
        <v>89.78450294162432</v>
      </c>
      <c r="G20" s="1451" t="s">
        <v>189</v>
      </c>
      <c r="H20" s="1451" t="s">
        <v>189</v>
      </c>
      <c r="I20" s="1452">
        <v>15515050</v>
      </c>
      <c r="J20" s="1452">
        <v>2299858.82</v>
      </c>
    </row>
    <row r="21" spans="1:10" s="1415" customFormat="1" ht="30.75" customHeight="1" hidden="1">
      <c r="A21" s="2091" t="s">
        <v>1555</v>
      </c>
      <c r="B21" s="2091">
        <v>80101</v>
      </c>
      <c r="C21" s="1422" t="s">
        <v>354</v>
      </c>
      <c r="D21" s="1413">
        <f>SUM(D22:D23)</f>
        <v>0</v>
      </c>
      <c r="E21" s="1413">
        <f>SUM(E22:E23)</f>
        <v>0</v>
      </c>
      <c r="F21" s="1414" t="e">
        <f t="shared" si="0"/>
        <v>#DIV/0!</v>
      </c>
      <c r="G21" s="2097" t="s">
        <v>355</v>
      </c>
      <c r="H21" s="2105"/>
      <c r="I21" s="2130" t="s">
        <v>1081</v>
      </c>
      <c r="J21" s="2122"/>
    </row>
    <row r="22" spans="1:8" s="1415" customFormat="1" ht="15.75" customHeight="1" hidden="1">
      <c r="A22" s="2092"/>
      <c r="B22" s="2092"/>
      <c r="C22" s="1423" t="s">
        <v>185</v>
      </c>
      <c r="D22" s="1424"/>
      <c r="E22" s="1424"/>
      <c r="F22" s="1425" t="e">
        <f t="shared" si="0"/>
        <v>#DIV/0!</v>
      </c>
      <c r="G22" s="2098"/>
      <c r="H22" s="2106"/>
    </row>
    <row r="23" spans="1:9" s="1415" customFormat="1" ht="15.75" customHeight="1" hidden="1">
      <c r="A23" s="2093"/>
      <c r="B23" s="2093"/>
      <c r="C23" s="1419" t="s">
        <v>186</v>
      </c>
      <c r="D23" s="1426"/>
      <c r="E23" s="1426"/>
      <c r="F23" s="1427" t="e">
        <f t="shared" si="0"/>
        <v>#DIV/0!</v>
      </c>
      <c r="G23" s="2099"/>
      <c r="H23" s="2107"/>
      <c r="I23" s="1740"/>
    </row>
    <row r="24" spans="1:10" s="1415" customFormat="1" ht="29.25" customHeight="1" hidden="1">
      <c r="A24" s="2109" t="s">
        <v>1556</v>
      </c>
      <c r="B24" s="2109">
        <v>63095</v>
      </c>
      <c r="C24" s="1422" t="s">
        <v>804</v>
      </c>
      <c r="D24" s="1413">
        <f>SUM(D25:D26)</f>
        <v>0</v>
      </c>
      <c r="E24" s="1413">
        <f>SUM(E25:E26)</f>
        <v>0</v>
      </c>
      <c r="F24" s="1414" t="e">
        <f t="shared" si="0"/>
        <v>#DIV/0!</v>
      </c>
      <c r="G24" s="2083" t="s">
        <v>171</v>
      </c>
      <c r="H24" s="2115"/>
      <c r="I24" s="1411"/>
      <c r="J24" s="1411"/>
    </row>
    <row r="25" spans="1:10" s="1415" customFormat="1" ht="15.75" customHeight="1" hidden="1">
      <c r="A25" s="2110"/>
      <c r="B25" s="2110"/>
      <c r="C25" s="1428" t="s">
        <v>185</v>
      </c>
      <c r="D25" s="1429"/>
      <c r="E25" s="1429"/>
      <c r="F25" s="1430" t="e">
        <f t="shared" si="0"/>
        <v>#DIV/0!</v>
      </c>
      <c r="G25" s="2084"/>
      <c r="H25" s="2116"/>
      <c r="I25" s="1431"/>
      <c r="J25" s="1431"/>
    </row>
    <row r="26" spans="1:10" s="1415" customFormat="1" ht="15.75" customHeight="1" hidden="1">
      <c r="A26" s="2111"/>
      <c r="B26" s="2111"/>
      <c r="C26" s="1419" t="s">
        <v>186</v>
      </c>
      <c r="D26" s="1432"/>
      <c r="E26" s="1432"/>
      <c r="F26" s="1421" t="e">
        <f t="shared" si="0"/>
        <v>#DIV/0!</v>
      </c>
      <c r="G26" s="2085"/>
      <c r="H26" s="2117"/>
      <c r="I26" s="1431"/>
      <c r="J26" s="1431"/>
    </row>
    <row r="27" spans="1:10" s="1435" customFormat="1" ht="29.25" customHeight="1">
      <c r="A27" s="2127" t="s">
        <v>1223</v>
      </c>
      <c r="B27" s="2131">
        <v>70001</v>
      </c>
      <c r="C27" s="1422" t="s">
        <v>775</v>
      </c>
      <c r="D27" s="1413">
        <f>SUM(D28:D29)</f>
        <v>520983</v>
      </c>
      <c r="E27" s="1413">
        <f>SUM(E28:E29)</f>
        <v>78824.29</v>
      </c>
      <c r="F27" s="1414">
        <f t="shared" si="0"/>
        <v>15.129915947353366</v>
      </c>
      <c r="G27" s="2097" t="s">
        <v>359</v>
      </c>
      <c r="H27" s="2097">
        <v>135</v>
      </c>
      <c r="I27" s="1434"/>
      <c r="J27" s="1434"/>
    </row>
    <row r="28" spans="1:8" s="1435" customFormat="1" ht="15.75" customHeight="1">
      <c r="A28" s="2128"/>
      <c r="B28" s="2132"/>
      <c r="C28" s="1423" t="s">
        <v>185</v>
      </c>
      <c r="D28" s="1424">
        <v>520983</v>
      </c>
      <c r="E28" s="1424">
        <v>78824.29</v>
      </c>
      <c r="F28" s="1425">
        <f t="shared" si="0"/>
        <v>15.129915947353366</v>
      </c>
      <c r="G28" s="2098"/>
      <c r="H28" s="2098"/>
    </row>
    <row r="29" spans="1:8" s="1435" customFormat="1" ht="15.75" customHeight="1">
      <c r="A29" s="2129"/>
      <c r="B29" s="2133"/>
      <c r="C29" s="1419" t="s">
        <v>186</v>
      </c>
      <c r="D29" s="1426">
        <v>0</v>
      </c>
      <c r="E29" s="1426">
        <v>0</v>
      </c>
      <c r="F29" s="1747" t="s">
        <v>1195</v>
      </c>
      <c r="G29" s="2099"/>
      <c r="H29" s="2099"/>
    </row>
    <row r="30" spans="1:8" s="1415" customFormat="1" ht="35.25" customHeight="1">
      <c r="A30" s="2091" t="s">
        <v>1548</v>
      </c>
      <c r="B30" s="2091">
        <v>80101</v>
      </c>
      <c r="C30" s="1422" t="s">
        <v>354</v>
      </c>
      <c r="D30" s="1413">
        <f>SUM(D31:D32)</f>
        <v>1429493</v>
      </c>
      <c r="E30" s="1413">
        <f>SUM(E31:E32)</f>
        <v>1278965</v>
      </c>
      <c r="F30" s="1414">
        <f aca="true" t="shared" si="1" ref="F30:F35">E30*100/D30</f>
        <v>89.46983301072478</v>
      </c>
      <c r="G30" s="2097" t="s">
        <v>355</v>
      </c>
      <c r="H30" s="2094">
        <v>147</v>
      </c>
    </row>
    <row r="31" spans="1:8" s="1415" customFormat="1" ht="15.75" customHeight="1">
      <c r="A31" s="2092"/>
      <c r="B31" s="2092"/>
      <c r="C31" s="1423" t="s">
        <v>185</v>
      </c>
      <c r="D31" s="1424">
        <v>1000000</v>
      </c>
      <c r="E31" s="1424">
        <v>849472.47</v>
      </c>
      <c r="F31" s="1425">
        <f t="shared" si="1"/>
        <v>84.947247</v>
      </c>
      <c r="G31" s="2098"/>
      <c r="H31" s="2095"/>
    </row>
    <row r="32" spans="1:8" s="1415" customFormat="1" ht="15.75" customHeight="1">
      <c r="A32" s="2093"/>
      <c r="B32" s="2093"/>
      <c r="C32" s="1419" t="s">
        <v>186</v>
      </c>
      <c r="D32" s="1426">
        <v>429493</v>
      </c>
      <c r="E32" s="1426">
        <v>429492.53</v>
      </c>
      <c r="F32" s="1427">
        <f t="shared" si="1"/>
        <v>99.99989056864722</v>
      </c>
      <c r="G32" s="2099"/>
      <c r="H32" s="2096"/>
    </row>
    <row r="33" spans="1:8" s="1435" customFormat="1" ht="35.25" customHeight="1">
      <c r="A33" s="2127" t="s">
        <v>1555</v>
      </c>
      <c r="B33" s="2097" t="s">
        <v>358</v>
      </c>
      <c r="C33" s="1433" t="s">
        <v>178</v>
      </c>
      <c r="D33" s="1413">
        <f>SUM(D34:D35)</f>
        <v>4248000</v>
      </c>
      <c r="E33" s="1413">
        <f>SUM(E34:E35)</f>
        <v>4226033.5600000005</v>
      </c>
      <c r="F33" s="1414">
        <f t="shared" si="1"/>
        <v>99.48289924670435</v>
      </c>
      <c r="G33" s="2097" t="s">
        <v>171</v>
      </c>
      <c r="H33" s="2097" t="s">
        <v>1363</v>
      </c>
    </row>
    <row r="34" spans="1:8" s="1435" customFormat="1" ht="15.75" customHeight="1">
      <c r="A34" s="2128"/>
      <c r="B34" s="2098"/>
      <c r="C34" s="1423" t="s">
        <v>185</v>
      </c>
      <c r="D34" s="1743">
        <v>1877166</v>
      </c>
      <c r="E34" s="1743">
        <v>1866700.42</v>
      </c>
      <c r="F34" s="1744">
        <f t="shared" si="1"/>
        <v>99.44247978069068</v>
      </c>
      <c r="G34" s="2098"/>
      <c r="H34" s="2098"/>
    </row>
    <row r="35" spans="1:8" s="1435" customFormat="1" ht="15.75" customHeight="1">
      <c r="A35" s="2129"/>
      <c r="B35" s="2099"/>
      <c r="C35" s="1419" t="s">
        <v>186</v>
      </c>
      <c r="D35" s="1745">
        <v>2370834</v>
      </c>
      <c r="E35" s="1745">
        <v>2359333.14</v>
      </c>
      <c r="F35" s="1746">
        <f t="shared" si="1"/>
        <v>99.51490235081832</v>
      </c>
      <c r="G35" s="2099"/>
      <c r="H35" s="2099"/>
    </row>
    <row r="36" spans="1:10" s="1415" customFormat="1" ht="48.75" customHeight="1">
      <c r="A36" s="2091" t="s">
        <v>1556</v>
      </c>
      <c r="B36" s="2091">
        <v>90004</v>
      </c>
      <c r="C36" s="1437" t="s">
        <v>191</v>
      </c>
      <c r="D36" s="1413">
        <f>SUM(D37:D38)</f>
        <v>777000</v>
      </c>
      <c r="E36" s="1413">
        <f>SUM(E37:E38)</f>
        <v>776336</v>
      </c>
      <c r="F36" s="1414">
        <f t="shared" si="0"/>
        <v>99.91454311454311</v>
      </c>
      <c r="G36" s="2083" t="s">
        <v>171</v>
      </c>
      <c r="H36" s="2094">
        <v>172</v>
      </c>
      <c r="I36" s="1431"/>
      <c r="J36" s="1431"/>
    </row>
    <row r="37" spans="1:10" s="1415" customFormat="1" ht="15.75" customHeight="1">
      <c r="A37" s="2092"/>
      <c r="B37" s="2092"/>
      <c r="C37" s="1428" t="s">
        <v>185</v>
      </c>
      <c r="D37" s="1429">
        <v>660500</v>
      </c>
      <c r="E37" s="1429">
        <v>659885.6</v>
      </c>
      <c r="F37" s="1438">
        <f>E37*100/D37</f>
        <v>99.90697956093868</v>
      </c>
      <c r="G37" s="2084"/>
      <c r="H37" s="2095"/>
      <c r="I37" s="1431"/>
      <c r="J37" s="1431"/>
    </row>
    <row r="38" spans="1:10" s="1415" customFormat="1" ht="15.75" customHeight="1">
      <c r="A38" s="2093"/>
      <c r="B38" s="2093"/>
      <c r="C38" s="1419" t="s">
        <v>186</v>
      </c>
      <c r="D38" s="1432">
        <v>116500</v>
      </c>
      <c r="E38" s="1432">
        <v>116450.4</v>
      </c>
      <c r="F38" s="1439">
        <f>E38*100/D38</f>
        <v>99.95742489270387</v>
      </c>
      <c r="G38" s="2085"/>
      <c r="H38" s="2096"/>
      <c r="I38" s="1431"/>
      <c r="J38" s="1431"/>
    </row>
    <row r="39" spans="1:8" s="1415" customFormat="1" ht="37.5" customHeight="1">
      <c r="A39" s="2091" t="s">
        <v>1557</v>
      </c>
      <c r="B39" s="2091">
        <v>90004</v>
      </c>
      <c r="C39" s="1412" t="s">
        <v>952</v>
      </c>
      <c r="D39" s="1413">
        <f>SUM(D40:D41)</f>
        <v>1055000</v>
      </c>
      <c r="E39" s="1413">
        <f>SUM(E40:E41)</f>
        <v>1054939.2</v>
      </c>
      <c r="F39" s="1414">
        <f t="shared" si="0"/>
        <v>99.99423696682464</v>
      </c>
      <c r="G39" s="2083" t="s">
        <v>171</v>
      </c>
      <c r="H39" s="2094">
        <v>172</v>
      </c>
    </row>
    <row r="40" spans="1:8" s="1415" customFormat="1" ht="15.75" customHeight="1">
      <c r="A40" s="2092"/>
      <c r="B40" s="2092"/>
      <c r="C40" s="1428" t="s">
        <v>185</v>
      </c>
      <c r="D40" s="1436">
        <v>575000</v>
      </c>
      <c r="E40" s="1429">
        <v>575000</v>
      </c>
      <c r="F40" s="1430">
        <f>E40*100/D40</f>
        <v>100</v>
      </c>
      <c r="G40" s="2084"/>
      <c r="H40" s="2095"/>
    </row>
    <row r="41" spans="1:8" s="1415" customFormat="1" ht="15.75" customHeight="1">
      <c r="A41" s="2093"/>
      <c r="B41" s="2093"/>
      <c r="C41" s="1419" t="s">
        <v>186</v>
      </c>
      <c r="D41" s="1420">
        <v>480000</v>
      </c>
      <c r="E41" s="1432">
        <v>479939.2</v>
      </c>
      <c r="F41" s="1421">
        <f>E41*100/D41</f>
        <v>99.98733333333334</v>
      </c>
      <c r="G41" s="2085"/>
      <c r="H41" s="2096"/>
    </row>
    <row r="42" spans="1:8" s="1415" customFormat="1" ht="28.5" customHeight="1">
      <c r="A42" s="2089" t="s">
        <v>329</v>
      </c>
      <c r="B42" s="2089">
        <v>90095</v>
      </c>
      <c r="C42" s="1422" t="s">
        <v>180</v>
      </c>
      <c r="D42" s="1413">
        <f>SUM(D43:D44)</f>
        <v>1878000</v>
      </c>
      <c r="E42" s="1413">
        <f>SUM(E43:E44)</f>
        <v>1623224</v>
      </c>
      <c r="F42" s="1414">
        <f t="shared" si="0"/>
        <v>86.43365282215123</v>
      </c>
      <c r="G42" s="2082" t="s">
        <v>171</v>
      </c>
      <c r="H42" s="2081">
        <v>173</v>
      </c>
    </row>
    <row r="43" spans="1:8" s="1415" customFormat="1" ht="15.75" customHeight="1">
      <c r="A43" s="2089"/>
      <c r="B43" s="2089"/>
      <c r="C43" s="1428" t="s">
        <v>185</v>
      </c>
      <c r="D43" s="1436">
        <v>684126</v>
      </c>
      <c r="E43" s="1436">
        <v>684126</v>
      </c>
      <c r="F43" s="1430">
        <f>E43*100/D43</f>
        <v>100</v>
      </c>
      <c r="G43" s="2082"/>
      <c r="H43" s="2081"/>
    </row>
    <row r="44" spans="1:8" s="1415" customFormat="1" ht="15.75" customHeight="1">
      <c r="A44" s="2089"/>
      <c r="B44" s="2089"/>
      <c r="C44" s="1419" t="s">
        <v>186</v>
      </c>
      <c r="D44" s="1420">
        <v>1193874</v>
      </c>
      <c r="E44" s="1420">
        <v>939098</v>
      </c>
      <c r="F44" s="1421">
        <f>E44*100/D44</f>
        <v>78.65972456054827</v>
      </c>
      <c r="G44" s="2082"/>
      <c r="H44" s="2081"/>
    </row>
    <row r="45" spans="1:8" s="1415" customFormat="1" ht="27" customHeight="1">
      <c r="A45" s="2091" t="s">
        <v>330</v>
      </c>
      <c r="B45" s="2089">
        <v>92109</v>
      </c>
      <c r="C45" s="1749" t="s">
        <v>360</v>
      </c>
      <c r="D45" s="1413">
        <f>SUM(D46:D47)</f>
        <v>161500</v>
      </c>
      <c r="E45" s="1413">
        <f>SUM(E46:E47)</f>
        <v>0</v>
      </c>
      <c r="F45" s="1750">
        <f>E45*100/D45</f>
        <v>0</v>
      </c>
      <c r="G45" s="2081" t="s">
        <v>171</v>
      </c>
      <c r="H45" s="2081" t="s">
        <v>1195</v>
      </c>
    </row>
    <row r="46" spans="1:8" s="1415" customFormat="1" ht="15.75" customHeight="1">
      <c r="A46" s="2092"/>
      <c r="B46" s="2089"/>
      <c r="C46" s="1751" t="s">
        <v>185</v>
      </c>
      <c r="D46" s="1743">
        <v>0</v>
      </c>
      <c r="E46" s="1743">
        <v>0</v>
      </c>
      <c r="F46" s="1752" t="s">
        <v>1195</v>
      </c>
      <c r="G46" s="2081"/>
      <c r="H46" s="2081"/>
    </row>
    <row r="47" spans="1:8" s="1415" customFormat="1" ht="15.75" customHeight="1">
      <c r="A47" s="2093"/>
      <c r="B47" s="2089"/>
      <c r="C47" s="1753" t="s">
        <v>186</v>
      </c>
      <c r="D47" s="1745">
        <v>161500</v>
      </c>
      <c r="E47" s="1745">
        <v>0</v>
      </c>
      <c r="F47" s="1754">
        <f>E47*100/D47</f>
        <v>0</v>
      </c>
      <c r="G47" s="2081"/>
      <c r="H47" s="2081"/>
    </row>
    <row r="48" spans="1:8" s="1415" customFormat="1" ht="24" customHeight="1">
      <c r="A48" s="2091" t="s">
        <v>1558</v>
      </c>
      <c r="B48" s="2091">
        <v>92601</v>
      </c>
      <c r="C48" s="1422" t="s">
        <v>138</v>
      </c>
      <c r="D48" s="1413">
        <f>SUM(D49:D50)</f>
        <v>70000</v>
      </c>
      <c r="E48" s="1413">
        <f>SUM(E49:E50)</f>
        <v>65805</v>
      </c>
      <c r="F48" s="1414">
        <f>E48*100/D48</f>
        <v>94.00714285714285</v>
      </c>
      <c r="G48" s="2081" t="s">
        <v>171</v>
      </c>
      <c r="H48" s="2081">
        <v>175</v>
      </c>
    </row>
    <row r="49" spans="1:8" s="1415" customFormat="1" ht="15.75" customHeight="1">
      <c r="A49" s="2092"/>
      <c r="B49" s="2092"/>
      <c r="C49" s="1423" t="s">
        <v>185</v>
      </c>
      <c r="D49" s="1424">
        <v>52500</v>
      </c>
      <c r="E49" s="1424">
        <v>49353.74</v>
      </c>
      <c r="F49" s="1425">
        <f>E49*100/D49</f>
        <v>94.0071238095238</v>
      </c>
      <c r="G49" s="2081"/>
      <c r="H49" s="2081"/>
    </row>
    <row r="50" spans="1:8" s="1415" customFormat="1" ht="15.75" customHeight="1">
      <c r="A50" s="2093"/>
      <c r="B50" s="2093"/>
      <c r="C50" s="1419" t="s">
        <v>186</v>
      </c>
      <c r="D50" s="1426">
        <v>17500</v>
      </c>
      <c r="E50" s="1426">
        <v>16451.26</v>
      </c>
      <c r="F50" s="1427">
        <f>E50*100/D50</f>
        <v>94.00719999999998</v>
      </c>
      <c r="G50" s="2081"/>
      <c r="H50" s="2081"/>
    </row>
    <row r="51" spans="1:10" s="1453" customFormat="1" ht="19.5" customHeight="1">
      <c r="A51" s="2090" t="s">
        <v>805</v>
      </c>
      <c r="B51" s="2090"/>
      <c r="C51" s="2090"/>
      <c r="D51" s="1449">
        <f>SUM(D52,D55)</f>
        <v>80893</v>
      </c>
      <c r="E51" s="1449">
        <f>SUM(E52,E55)</f>
        <v>72258.19</v>
      </c>
      <c r="F51" s="1450">
        <f t="shared" si="0"/>
        <v>89.32564004301979</v>
      </c>
      <c r="G51" s="1451" t="s">
        <v>189</v>
      </c>
      <c r="H51" s="1451" t="s">
        <v>189</v>
      </c>
      <c r="I51" s="1452">
        <v>87492</v>
      </c>
      <c r="J51" s="1452">
        <v>53250.43</v>
      </c>
    </row>
    <row r="52" spans="1:8" s="1415" customFormat="1" ht="27.75" customHeight="1">
      <c r="A52" s="2089" t="s">
        <v>1560</v>
      </c>
      <c r="B52" s="2089">
        <v>85395</v>
      </c>
      <c r="C52" s="1458" t="s">
        <v>302</v>
      </c>
      <c r="D52" s="1413">
        <f>SUM(D53:D54)</f>
        <v>32887</v>
      </c>
      <c r="E52" s="1413">
        <f>SUM(E53:E54)</f>
        <v>32710.68</v>
      </c>
      <c r="F52" s="1414">
        <f aca="true" t="shared" si="2" ref="F52:F57">E52*100/D52</f>
        <v>99.46386110013076</v>
      </c>
      <c r="G52" s="2082" t="s">
        <v>173</v>
      </c>
      <c r="H52" s="2081">
        <v>196</v>
      </c>
    </row>
    <row r="53" spans="1:8" s="1415" customFormat="1" ht="15.75" customHeight="1">
      <c r="A53" s="2089"/>
      <c r="B53" s="2089"/>
      <c r="C53" s="1423" t="s">
        <v>185</v>
      </c>
      <c r="D53" s="1424">
        <v>32887</v>
      </c>
      <c r="E53" s="1424">
        <v>32710.68</v>
      </c>
      <c r="F53" s="1425">
        <f t="shared" si="2"/>
        <v>99.46386110013076</v>
      </c>
      <c r="G53" s="2082"/>
      <c r="H53" s="2081"/>
    </row>
    <row r="54" spans="1:8" s="1415" customFormat="1" ht="15.75" customHeight="1">
      <c r="A54" s="2089"/>
      <c r="B54" s="2089"/>
      <c r="C54" s="1419" t="s">
        <v>186</v>
      </c>
      <c r="D54" s="1426">
        <v>0</v>
      </c>
      <c r="E54" s="1426">
        <v>0</v>
      </c>
      <c r="F54" s="1748" t="s">
        <v>1195</v>
      </c>
      <c r="G54" s="2082"/>
      <c r="H54" s="2081"/>
    </row>
    <row r="55" spans="1:8" s="1415" customFormat="1" ht="15.75" customHeight="1">
      <c r="A55" s="2089" t="s">
        <v>331</v>
      </c>
      <c r="B55" s="2091">
        <v>85395</v>
      </c>
      <c r="C55" s="1458" t="s">
        <v>369</v>
      </c>
      <c r="D55" s="1413">
        <f>SUM(D56:D57)</f>
        <v>48006</v>
      </c>
      <c r="E55" s="1413">
        <f>SUM(E56:E57)</f>
        <v>39547.509999999995</v>
      </c>
      <c r="F55" s="1414">
        <f t="shared" si="2"/>
        <v>82.3803482897971</v>
      </c>
      <c r="G55" s="2083" t="s">
        <v>173</v>
      </c>
      <c r="H55" s="2081">
        <v>196</v>
      </c>
    </row>
    <row r="56" spans="1:8" s="1415" customFormat="1" ht="15.75" customHeight="1">
      <c r="A56" s="2092"/>
      <c r="B56" s="2092"/>
      <c r="C56" s="1423" t="s">
        <v>185</v>
      </c>
      <c r="D56" s="1424">
        <v>40805</v>
      </c>
      <c r="E56" s="1424">
        <v>33615.38</v>
      </c>
      <c r="F56" s="1425">
        <f t="shared" si="2"/>
        <v>82.38054160029407</v>
      </c>
      <c r="G56" s="2084"/>
      <c r="H56" s="2081"/>
    </row>
    <row r="57" spans="1:8" s="1415" customFormat="1" ht="15.75" customHeight="1">
      <c r="A57" s="2093"/>
      <c r="B57" s="2093"/>
      <c r="C57" s="1419" t="s">
        <v>186</v>
      </c>
      <c r="D57" s="1426">
        <v>7201</v>
      </c>
      <c r="E57" s="1426">
        <v>5932.13</v>
      </c>
      <c r="F57" s="1425">
        <f t="shared" si="2"/>
        <v>82.37925288154423</v>
      </c>
      <c r="G57" s="2085"/>
      <c r="H57" s="2081"/>
    </row>
    <row r="58" spans="1:10" s="1453" customFormat="1" ht="19.5" customHeight="1">
      <c r="A58" s="2090" t="s">
        <v>806</v>
      </c>
      <c r="B58" s="2090"/>
      <c r="C58" s="2090"/>
      <c r="D58" s="1449">
        <f>SUM(D59,D62,D65)</f>
        <v>2475305</v>
      </c>
      <c r="E58" s="1449">
        <f>SUM(E59,E62,E65)</f>
        <v>2399984</v>
      </c>
      <c r="F58" s="1450">
        <f aca="true" t="shared" si="3" ref="F58:F70">E58*100/D58</f>
        <v>96.95710225608562</v>
      </c>
      <c r="G58" s="1451" t="s">
        <v>189</v>
      </c>
      <c r="H58" s="1451" t="s">
        <v>189</v>
      </c>
      <c r="I58" s="1452">
        <v>9504302</v>
      </c>
      <c r="J58" s="1452">
        <v>2656495.2</v>
      </c>
    </row>
    <row r="59" spans="1:8" s="1415" customFormat="1" ht="27" customHeight="1">
      <c r="A59" s="2086" t="s">
        <v>1561</v>
      </c>
      <c r="B59" s="2086">
        <v>60015</v>
      </c>
      <c r="C59" s="1412" t="s">
        <v>82</v>
      </c>
      <c r="D59" s="1413">
        <f>SUM(D60:D61)</f>
        <v>1055796</v>
      </c>
      <c r="E59" s="1413">
        <f>SUM(E60:E61)</f>
        <v>1055794.54</v>
      </c>
      <c r="F59" s="1414">
        <f t="shared" si="3"/>
        <v>99.99986171571024</v>
      </c>
      <c r="G59" s="2082" t="s">
        <v>171</v>
      </c>
      <c r="H59" s="2081">
        <v>179</v>
      </c>
    </row>
    <row r="60" spans="1:8" s="1415" customFormat="1" ht="15.75" customHeight="1">
      <c r="A60" s="2087"/>
      <c r="B60" s="2087"/>
      <c r="C60" s="1416" t="s">
        <v>185</v>
      </c>
      <c r="D60" s="1417">
        <v>363162</v>
      </c>
      <c r="E60" s="1417">
        <v>363161.26</v>
      </c>
      <c r="F60" s="1418">
        <f t="shared" si="3"/>
        <v>99.9997962341875</v>
      </c>
      <c r="G60" s="2082"/>
      <c r="H60" s="2081"/>
    </row>
    <row r="61" spans="1:8" s="1415" customFormat="1" ht="15.75" customHeight="1">
      <c r="A61" s="2088"/>
      <c r="B61" s="2088"/>
      <c r="C61" s="1419" t="s">
        <v>186</v>
      </c>
      <c r="D61" s="1420">
        <v>692634</v>
      </c>
      <c r="E61" s="1420">
        <v>692633.28</v>
      </c>
      <c r="F61" s="1421">
        <f t="shared" si="3"/>
        <v>99.99989604899557</v>
      </c>
      <c r="G61" s="2082"/>
      <c r="H61" s="2081"/>
    </row>
    <row r="62" spans="1:8" s="1415" customFormat="1" ht="27" customHeight="1">
      <c r="A62" s="2091" t="s">
        <v>1562</v>
      </c>
      <c r="B62" s="2091">
        <v>80120</v>
      </c>
      <c r="C62" s="1741" t="s">
        <v>356</v>
      </c>
      <c r="D62" s="1413">
        <f>SUM(D63:D64)</f>
        <v>1413385</v>
      </c>
      <c r="E62" s="1413">
        <f>SUM(E63:E64)</f>
        <v>1338065.9100000001</v>
      </c>
      <c r="F62" s="1414">
        <f>E62*100/D62</f>
        <v>94.67101391340648</v>
      </c>
      <c r="G62" s="2081" t="s">
        <v>357</v>
      </c>
      <c r="H62" s="2081">
        <v>186</v>
      </c>
    </row>
    <row r="63" spans="1:8" s="1415" customFormat="1" ht="15.75" customHeight="1">
      <c r="A63" s="2092"/>
      <c r="B63" s="2092"/>
      <c r="C63" s="1444" t="s">
        <v>185</v>
      </c>
      <c r="D63" s="1742">
        <v>1000000</v>
      </c>
      <c r="E63" s="1742">
        <v>924679.68</v>
      </c>
      <c r="F63" s="1445">
        <f>E63*100/D63</f>
        <v>92.467968</v>
      </c>
      <c r="G63" s="2081"/>
      <c r="H63" s="2081"/>
    </row>
    <row r="64" spans="1:8" s="1415" customFormat="1" ht="15.75" customHeight="1">
      <c r="A64" s="2093"/>
      <c r="B64" s="2093"/>
      <c r="C64" s="1419" t="s">
        <v>186</v>
      </c>
      <c r="D64" s="1426">
        <v>413385</v>
      </c>
      <c r="E64" s="1426">
        <v>413386.23</v>
      </c>
      <c r="F64" s="1427">
        <f>E64*100/D64</f>
        <v>100.00029754345223</v>
      </c>
      <c r="G64" s="2081"/>
      <c r="H64" s="2081"/>
    </row>
    <row r="65" spans="1:8" s="1415" customFormat="1" ht="32.25" customHeight="1">
      <c r="A65" s="2089" t="s">
        <v>332</v>
      </c>
      <c r="B65" s="2089">
        <v>85395</v>
      </c>
      <c r="C65" s="1458" t="s">
        <v>302</v>
      </c>
      <c r="D65" s="1413">
        <f>SUM(D66:D67)</f>
        <v>6124</v>
      </c>
      <c r="E65" s="1413">
        <f>SUM(E66:E67)</f>
        <v>6123.55</v>
      </c>
      <c r="F65" s="1414">
        <f>E65*100/D65</f>
        <v>99.99265186152842</v>
      </c>
      <c r="G65" s="2082" t="s">
        <v>173</v>
      </c>
      <c r="H65" s="2081">
        <v>196</v>
      </c>
    </row>
    <row r="66" spans="1:8" s="1415" customFormat="1" ht="15.75" customHeight="1">
      <c r="A66" s="2089"/>
      <c r="B66" s="2089"/>
      <c r="C66" s="1423" t="s">
        <v>185</v>
      </c>
      <c r="D66" s="1424">
        <v>6124</v>
      </c>
      <c r="E66" s="1424">
        <v>6123.55</v>
      </c>
      <c r="F66" s="1425">
        <f>E66*100/D66</f>
        <v>99.99265186152842</v>
      </c>
      <c r="G66" s="2082"/>
      <c r="H66" s="2081"/>
    </row>
    <row r="67" spans="1:8" s="1415" customFormat="1" ht="15.75" customHeight="1">
      <c r="A67" s="2089"/>
      <c r="B67" s="2089"/>
      <c r="C67" s="1419" t="s">
        <v>186</v>
      </c>
      <c r="D67" s="1426">
        <v>0</v>
      </c>
      <c r="E67" s="1426">
        <v>0</v>
      </c>
      <c r="F67" s="1748" t="s">
        <v>1195</v>
      </c>
      <c r="G67" s="2082"/>
      <c r="H67" s="2081"/>
    </row>
    <row r="68" spans="1:10" s="1457" customFormat="1" ht="19.5" customHeight="1">
      <c r="A68" s="2118" t="s">
        <v>306</v>
      </c>
      <c r="B68" s="2119"/>
      <c r="C68" s="2120"/>
      <c r="D68" s="1455">
        <f>SUM(D6,D20)</f>
        <v>10507976</v>
      </c>
      <c r="E68" s="1455">
        <f>SUM(E6,E20)</f>
        <v>9391657.290000001</v>
      </c>
      <c r="F68" s="1450">
        <f t="shared" si="3"/>
        <v>89.37646307909345</v>
      </c>
      <c r="G68" s="1451" t="s">
        <v>189</v>
      </c>
      <c r="H68" s="1451" t="s">
        <v>189</v>
      </c>
      <c r="I68" s="1456">
        <v>16284074</v>
      </c>
      <c r="J68" s="1456">
        <v>2634353.03</v>
      </c>
    </row>
    <row r="69" spans="1:10" s="1457" customFormat="1" ht="19.5" customHeight="1">
      <c r="A69" s="2118" t="s">
        <v>307</v>
      </c>
      <c r="B69" s="2119"/>
      <c r="C69" s="2120"/>
      <c r="D69" s="1455">
        <f>SUM(D51,D58)</f>
        <v>2556198</v>
      </c>
      <c r="E69" s="1455">
        <f>SUM(E51,E58)</f>
        <v>2472242.19</v>
      </c>
      <c r="F69" s="1450">
        <f t="shared" si="3"/>
        <v>96.7155983221957</v>
      </c>
      <c r="G69" s="1451" t="s">
        <v>189</v>
      </c>
      <c r="H69" s="1451" t="s">
        <v>189</v>
      </c>
      <c r="I69" s="1456">
        <v>9591794</v>
      </c>
      <c r="J69" s="1456">
        <v>2709745.63</v>
      </c>
    </row>
    <row r="70" spans="1:10" s="1457" customFormat="1" ht="19.5" customHeight="1">
      <c r="A70" s="2118" t="s">
        <v>828</v>
      </c>
      <c r="B70" s="2119"/>
      <c r="C70" s="2120"/>
      <c r="D70" s="1455">
        <f>SUM(D68,D69)</f>
        <v>13064174</v>
      </c>
      <c r="E70" s="1455">
        <f>SUM(E68,E69)</f>
        <v>11863899.48</v>
      </c>
      <c r="F70" s="1450">
        <f t="shared" si="3"/>
        <v>90.81247295083486</v>
      </c>
      <c r="G70" s="1451" t="s">
        <v>189</v>
      </c>
      <c r="H70" s="1451" t="s">
        <v>189</v>
      </c>
      <c r="I70" s="1456">
        <f>SUM(I68:I69)</f>
        <v>25875868</v>
      </c>
      <c r="J70" s="1456">
        <f>SUM(J68:J69)</f>
        <v>5344098.66</v>
      </c>
    </row>
    <row r="71" spans="9:10" ht="12" customHeight="1">
      <c r="I71" s="562"/>
      <c r="J71" s="562"/>
    </row>
    <row r="72" spans="9:10" ht="12" customHeight="1">
      <c r="I72" s="562"/>
      <c r="J72" s="562"/>
    </row>
    <row r="73" ht="12" customHeight="1" hidden="1"/>
    <row r="74" ht="12" customHeight="1" hidden="1"/>
    <row r="75" spans="1:8" s="1415" customFormat="1" ht="12" customHeight="1" hidden="1">
      <c r="A75" s="1459"/>
      <c r="C75" s="1460" t="s">
        <v>1082</v>
      </c>
      <c r="D75" s="1462">
        <v>10852658</v>
      </c>
      <c r="E75" s="1462">
        <v>9806432.97</v>
      </c>
      <c r="F75" s="1461"/>
      <c r="G75" s="1461"/>
      <c r="H75" s="1461"/>
    </row>
    <row r="76" spans="1:8" s="1415" customFormat="1" ht="12" customHeight="1" hidden="1">
      <c r="A76" s="1459"/>
      <c r="C76" s="1460" t="s">
        <v>530</v>
      </c>
      <c r="D76" s="1462">
        <v>8186671</v>
      </c>
      <c r="E76" s="1462">
        <v>7879956.11</v>
      </c>
      <c r="F76" s="1461"/>
      <c r="G76" s="1461"/>
      <c r="H76" s="1461"/>
    </row>
    <row r="77" spans="1:8" s="1415" customFormat="1" ht="12" customHeight="1" hidden="1">
      <c r="A77" s="1459"/>
      <c r="C77" s="1460" t="s">
        <v>956</v>
      </c>
      <c r="D77" s="1462">
        <v>19039329</v>
      </c>
      <c r="E77" s="1462">
        <v>17686389.08</v>
      </c>
      <c r="F77" s="1461"/>
      <c r="G77" s="1461"/>
      <c r="H77" s="1461"/>
    </row>
    <row r="78" spans="1:8" s="1464" customFormat="1" ht="12" customHeight="1" hidden="1">
      <c r="A78" s="1463"/>
      <c r="C78" s="1465" t="s">
        <v>531</v>
      </c>
      <c r="D78" s="1466">
        <f>D68-D75</f>
        <v>-344682</v>
      </c>
      <c r="E78" s="1466">
        <f>E68-E75</f>
        <v>-414775.6799999997</v>
      </c>
      <c r="F78" s="1467"/>
      <c r="G78" s="1467"/>
      <c r="H78" s="1467"/>
    </row>
    <row r="79" spans="1:8" s="1464" customFormat="1" ht="12" customHeight="1" hidden="1">
      <c r="A79" s="1463"/>
      <c r="C79" s="1465" t="s">
        <v>532</v>
      </c>
      <c r="D79" s="1466">
        <f>D69-D76</f>
        <v>-5630473</v>
      </c>
      <c r="E79" s="1466">
        <f>E69-E76</f>
        <v>-5407713.92</v>
      </c>
      <c r="F79" s="1467"/>
      <c r="G79" s="1467"/>
      <c r="H79" s="1467"/>
    </row>
    <row r="80" ht="12" customHeight="1" hidden="1"/>
  </sheetData>
  <sheetProtection password="CF53" sheet="1" formatRows="0" insertColumns="0" insertRows="0" insertHyperlinks="0" deleteColumns="0" deleteRows="0" sort="0" autoFilter="0" pivotTables="0"/>
  <mergeCells count="91">
    <mergeCell ref="A70:C70"/>
    <mergeCell ref="A69:C69"/>
    <mergeCell ref="A36:A38"/>
    <mergeCell ref="A39:A41"/>
    <mergeCell ref="A52:A54"/>
    <mergeCell ref="A62:A64"/>
    <mergeCell ref="A42:A44"/>
    <mergeCell ref="A68:C68"/>
    <mergeCell ref="A48:A50"/>
    <mergeCell ref="A58:C58"/>
    <mergeCell ref="H30:H32"/>
    <mergeCell ref="B36:B38"/>
    <mergeCell ref="B39:B41"/>
    <mergeCell ref="B30:B32"/>
    <mergeCell ref="B33:B35"/>
    <mergeCell ref="I21:J21"/>
    <mergeCell ref="B27:B29"/>
    <mergeCell ref="G27:G29"/>
    <mergeCell ref="G21:G23"/>
    <mergeCell ref="H21:H23"/>
    <mergeCell ref="H27:H29"/>
    <mergeCell ref="B24:B26"/>
    <mergeCell ref="H24:H26"/>
    <mergeCell ref="G24:G26"/>
    <mergeCell ref="G17:G19"/>
    <mergeCell ref="G14:G16"/>
    <mergeCell ref="H4:H5"/>
    <mergeCell ref="A21:A23"/>
    <mergeCell ref="B21:B23"/>
    <mergeCell ref="G30:G32"/>
    <mergeCell ref="G33:G35"/>
    <mergeCell ref="A20:C20"/>
    <mergeCell ref="A27:A29"/>
    <mergeCell ref="A30:A32"/>
    <mergeCell ref="A24:A26"/>
    <mergeCell ref="A33:A35"/>
    <mergeCell ref="A17:A19"/>
    <mergeCell ref="B17:B19"/>
    <mergeCell ref="C7:C11"/>
    <mergeCell ref="H17:H19"/>
    <mergeCell ref="A6:C6"/>
    <mergeCell ref="I5:J5"/>
    <mergeCell ref="G4:G5"/>
    <mergeCell ref="A4:A5"/>
    <mergeCell ref="C4:C5"/>
    <mergeCell ref="D4:E4"/>
    <mergeCell ref="G1:H1"/>
    <mergeCell ref="A14:A16"/>
    <mergeCell ref="B14:B16"/>
    <mergeCell ref="G11:G13"/>
    <mergeCell ref="H11:H13"/>
    <mergeCell ref="F4:F5"/>
    <mergeCell ref="A7:A13"/>
    <mergeCell ref="B7:B13"/>
    <mergeCell ref="A2:H2"/>
    <mergeCell ref="H14:H16"/>
    <mergeCell ref="H33:H35"/>
    <mergeCell ref="B4:B5"/>
    <mergeCell ref="A65:A67"/>
    <mergeCell ref="B65:B67"/>
    <mergeCell ref="A55:A57"/>
    <mergeCell ref="B59:B61"/>
    <mergeCell ref="B62:B64"/>
    <mergeCell ref="B55:B57"/>
    <mergeCell ref="H39:H41"/>
    <mergeCell ref="G36:G38"/>
    <mergeCell ref="H36:H38"/>
    <mergeCell ref="H45:H47"/>
    <mergeCell ref="H48:H50"/>
    <mergeCell ref="G42:G44"/>
    <mergeCell ref="G45:G47"/>
    <mergeCell ref="H42:H44"/>
    <mergeCell ref="A59:A61"/>
    <mergeCell ref="G48:G50"/>
    <mergeCell ref="B52:B54"/>
    <mergeCell ref="A51:C51"/>
    <mergeCell ref="G39:G41"/>
    <mergeCell ref="B48:B50"/>
    <mergeCell ref="A45:A47"/>
    <mergeCell ref="B45:B47"/>
    <mergeCell ref="B42:B44"/>
    <mergeCell ref="H65:H67"/>
    <mergeCell ref="H62:H64"/>
    <mergeCell ref="H52:H54"/>
    <mergeCell ref="G65:G67"/>
    <mergeCell ref="G62:G64"/>
    <mergeCell ref="G55:G57"/>
    <mergeCell ref="H55:H57"/>
    <mergeCell ref="G52:G54"/>
    <mergeCell ref="G59:G61"/>
    <mergeCell ref="H59:H61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landscape" paperSize="9" scale="91" r:id="rId1"/>
  <rowBreaks count="2" manualBreakCount="2">
    <brk id="38" max="7" man="1"/>
    <brk id="61" max="7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H71"/>
  <sheetViews>
    <sheetView view="pageBreakPreview" zoomScaleSheetLayoutView="100" zoomScalePageLayoutView="0" workbookViewId="0" topLeftCell="A44">
      <selection activeCell="C50" sqref="C50"/>
    </sheetView>
  </sheetViews>
  <sheetFormatPr defaultColWidth="9.00390625" defaultRowHeight="12.75"/>
  <cols>
    <col min="1" max="1" width="4.00390625" style="563" customWidth="1"/>
    <col min="2" max="2" width="8.625" style="563" customWidth="1"/>
    <col min="3" max="3" width="87.875" style="563" customWidth="1"/>
    <col min="4" max="4" width="13.125" style="563" customWidth="1"/>
    <col min="5" max="5" width="12.375" style="563" customWidth="1"/>
    <col min="6" max="6" width="5.75390625" style="563" customWidth="1"/>
    <col min="7" max="7" width="16.25390625" style="564" hidden="1" customWidth="1"/>
    <col min="8" max="8" width="12.25390625" style="563" hidden="1" customWidth="1"/>
    <col min="9" max="16384" width="9.125" style="563" customWidth="1"/>
  </cols>
  <sheetData>
    <row r="1" spans="5:7" s="1359" customFormat="1" ht="21.75" customHeight="1">
      <c r="E1" s="2143" t="s">
        <v>1773</v>
      </c>
      <c r="F1" s="2143"/>
      <c r="G1" s="1360"/>
    </row>
    <row r="2" spans="1:7" s="1363" customFormat="1" ht="58.5" customHeight="1">
      <c r="A2" s="2144" t="s">
        <v>911</v>
      </c>
      <c r="B2" s="2144"/>
      <c r="C2" s="2144"/>
      <c r="D2" s="2144"/>
      <c r="E2" s="2144"/>
      <c r="F2" s="2144"/>
      <c r="G2" s="1362"/>
    </row>
    <row r="3" spans="3:7" s="1359" customFormat="1" ht="15" customHeight="1" thickBot="1">
      <c r="C3" s="1361"/>
      <c r="F3" s="1364" t="s">
        <v>208</v>
      </c>
      <c r="G3" s="1360"/>
    </row>
    <row r="4" spans="1:7" s="1361" customFormat="1" ht="31.5" customHeight="1">
      <c r="A4" s="1365" t="s">
        <v>1219</v>
      </c>
      <c r="B4" s="1366" t="s">
        <v>209</v>
      </c>
      <c r="C4" s="1366" t="s">
        <v>1642</v>
      </c>
      <c r="D4" s="1366" t="s">
        <v>211</v>
      </c>
      <c r="E4" s="1366" t="s">
        <v>212</v>
      </c>
      <c r="F4" s="1367" t="s">
        <v>213</v>
      </c>
      <c r="G4" s="1368"/>
    </row>
    <row r="5" spans="1:7" s="1361" customFormat="1" ht="12" customHeight="1">
      <c r="A5" s="1369">
        <v>1</v>
      </c>
      <c r="B5" s="1370">
        <v>2</v>
      </c>
      <c r="C5" s="1370">
        <v>3</v>
      </c>
      <c r="D5" s="1370">
        <v>4</v>
      </c>
      <c r="E5" s="1370">
        <v>5</v>
      </c>
      <c r="F5" s="1371">
        <v>6</v>
      </c>
      <c r="G5" s="1368"/>
    </row>
    <row r="6" spans="1:7" s="1361" customFormat="1" ht="19.5" customHeight="1">
      <c r="A6" s="2137" t="s">
        <v>1706</v>
      </c>
      <c r="B6" s="2138"/>
      <c r="C6" s="2139"/>
      <c r="D6" s="1372">
        <f>SUM(D7)</f>
        <v>4540000</v>
      </c>
      <c r="E6" s="2213">
        <f>SUM(E7)</f>
        <v>3416264.73</v>
      </c>
      <c r="F6" s="2214">
        <f>E6/D6*100</f>
        <v>75.2481218061674</v>
      </c>
      <c r="G6" s="1368"/>
    </row>
    <row r="7" spans="1:7" s="1361" customFormat="1" ht="19.5" customHeight="1">
      <c r="A7" s="1374" t="s">
        <v>1222</v>
      </c>
      <c r="B7" s="1375">
        <v>50095</v>
      </c>
      <c r="C7" s="1376" t="s">
        <v>1383</v>
      </c>
      <c r="D7" s="1377">
        <v>4540000</v>
      </c>
      <c r="E7" s="2215">
        <v>3416264.73</v>
      </c>
      <c r="F7" s="2216">
        <f>E7/D7*100</f>
        <v>75.2481218061674</v>
      </c>
      <c r="G7" s="1368"/>
    </row>
    <row r="8" spans="1:7" s="1361" customFormat="1" ht="19.5" customHeight="1">
      <c r="A8" s="1673"/>
      <c r="B8" s="1674"/>
      <c r="C8" s="1469" t="s">
        <v>957</v>
      </c>
      <c r="D8" s="1470"/>
      <c r="E8" s="1470">
        <v>47480</v>
      </c>
      <c r="F8" s="1471"/>
      <c r="G8" s="1368"/>
    </row>
    <row r="9" spans="1:7" s="1361" customFormat="1" ht="19.5" customHeight="1">
      <c r="A9" s="2140" t="s">
        <v>311</v>
      </c>
      <c r="B9" s="2141"/>
      <c r="C9" s="2142"/>
      <c r="D9" s="1378">
        <f>SUM(D10,D12,D13,D15,D16,D17,D18,D20,D21,D22)</f>
        <v>13239025</v>
      </c>
      <c r="E9" s="1378">
        <f>SUM(E10,E12,E13,E15,E16,E17,E18,E20,E21,E22)</f>
        <v>12952423.280000003</v>
      </c>
      <c r="F9" s="1373">
        <f>E9/D9*100</f>
        <v>97.83517502232984</v>
      </c>
      <c r="G9" s="1368"/>
    </row>
    <row r="10" spans="1:7" s="1359" customFormat="1" ht="19.5" customHeight="1">
      <c r="A10" s="1474" t="s">
        <v>1223</v>
      </c>
      <c r="B10" s="1475" t="s">
        <v>312</v>
      </c>
      <c r="C10" s="1476" t="s">
        <v>82</v>
      </c>
      <c r="D10" s="1477">
        <v>3260000</v>
      </c>
      <c r="E10" s="1477">
        <v>3209650.97</v>
      </c>
      <c r="F10" s="1478">
        <f>E10/D10*100</f>
        <v>98.45555122699388</v>
      </c>
      <c r="G10" s="1404">
        <f>SUM(E10:E17)</f>
        <v>10698942.930000002</v>
      </c>
    </row>
    <row r="11" spans="1:7" s="1390" customFormat="1" ht="19.5" customHeight="1" hidden="1">
      <c r="A11" s="1473"/>
      <c r="B11" s="1468"/>
      <c r="C11" s="1469" t="s">
        <v>957</v>
      </c>
      <c r="D11" s="1470"/>
      <c r="E11" s="1470"/>
      <c r="F11" s="1471"/>
      <c r="G11" s="1472"/>
    </row>
    <row r="12" spans="1:7" s="1359" customFormat="1" ht="19.5" customHeight="1">
      <c r="A12" s="1374" t="s">
        <v>1548</v>
      </c>
      <c r="B12" s="1382" t="s">
        <v>312</v>
      </c>
      <c r="C12" s="1383" t="s">
        <v>1616</v>
      </c>
      <c r="D12" s="1384">
        <v>6565000</v>
      </c>
      <c r="E12" s="1385">
        <v>6564609.1</v>
      </c>
      <c r="F12" s="1386">
        <f aca="true" t="shared" si="0" ref="F12:F66">E12/D12*100</f>
        <v>99.99404569687738</v>
      </c>
      <c r="G12" s="1360"/>
    </row>
    <row r="13" spans="1:7" s="1359" customFormat="1" ht="19.5" customHeight="1">
      <c r="A13" s="1479" t="s">
        <v>1555</v>
      </c>
      <c r="B13" s="1475" t="s">
        <v>312</v>
      </c>
      <c r="C13" s="1480" t="s">
        <v>148</v>
      </c>
      <c r="D13" s="1477">
        <v>50000</v>
      </c>
      <c r="E13" s="1481">
        <v>49687</v>
      </c>
      <c r="F13" s="1478">
        <f t="shared" si="0"/>
        <v>99.374</v>
      </c>
      <c r="G13" s="1360"/>
    </row>
    <row r="14" spans="1:7" s="1390" customFormat="1" ht="19.5" customHeight="1" hidden="1">
      <c r="A14" s="1482"/>
      <c r="B14" s="1468"/>
      <c r="C14" s="1469" t="s">
        <v>957</v>
      </c>
      <c r="D14" s="1470"/>
      <c r="E14" s="1483"/>
      <c r="F14" s="1471"/>
      <c r="G14" s="1389"/>
    </row>
    <row r="15" spans="1:7" s="1359" customFormat="1" ht="19.5" customHeight="1">
      <c r="A15" s="1374" t="s">
        <v>1556</v>
      </c>
      <c r="B15" s="1379" t="s">
        <v>312</v>
      </c>
      <c r="C15" s="1380" t="s">
        <v>1384</v>
      </c>
      <c r="D15" s="1377">
        <v>843025</v>
      </c>
      <c r="E15" s="1377">
        <v>758485.56</v>
      </c>
      <c r="F15" s="1381">
        <f t="shared" si="0"/>
        <v>89.9718940719433</v>
      </c>
      <c r="G15" s="1360"/>
    </row>
    <row r="16" spans="1:7" s="1359" customFormat="1" ht="19.5" customHeight="1">
      <c r="A16" s="1374" t="s">
        <v>1557</v>
      </c>
      <c r="B16" s="1379" t="s">
        <v>312</v>
      </c>
      <c r="C16" s="1380" t="s">
        <v>1385</v>
      </c>
      <c r="D16" s="1377">
        <v>50000</v>
      </c>
      <c r="E16" s="1377">
        <v>49477.56</v>
      </c>
      <c r="F16" s="1381">
        <f t="shared" si="0"/>
        <v>98.95512</v>
      </c>
      <c r="G16" s="1360"/>
    </row>
    <row r="17" spans="1:7" s="1359" customFormat="1" ht="33" customHeight="1">
      <c r="A17" s="1374" t="s">
        <v>329</v>
      </c>
      <c r="B17" s="1379" t="s">
        <v>313</v>
      </c>
      <c r="C17" s="1380" t="s">
        <v>1386</v>
      </c>
      <c r="D17" s="1377">
        <v>81000</v>
      </c>
      <c r="E17" s="1377">
        <v>67032.74</v>
      </c>
      <c r="F17" s="1381">
        <f t="shared" si="0"/>
        <v>82.75646913580248</v>
      </c>
      <c r="G17" s="1360"/>
    </row>
    <row r="18" spans="1:7" s="1359" customFormat="1" ht="19.5" customHeight="1">
      <c r="A18" s="1374" t="s">
        <v>330</v>
      </c>
      <c r="B18" s="1379" t="s">
        <v>313</v>
      </c>
      <c r="C18" s="1380" t="s">
        <v>175</v>
      </c>
      <c r="D18" s="1377">
        <v>945000</v>
      </c>
      <c r="E18" s="1377">
        <v>944663.91</v>
      </c>
      <c r="F18" s="1381">
        <f t="shared" si="0"/>
        <v>99.96443492063493</v>
      </c>
      <c r="G18" s="1404">
        <f>SUM(E18:E22)</f>
        <v>2837788.35</v>
      </c>
    </row>
    <row r="19" spans="1:7" s="1390" customFormat="1" ht="19.5" customHeight="1">
      <c r="A19" s="1484"/>
      <c r="B19" s="1485"/>
      <c r="C19" s="1486" t="s">
        <v>957</v>
      </c>
      <c r="D19" s="1487"/>
      <c r="E19" s="1487">
        <v>584308</v>
      </c>
      <c r="F19" s="1488"/>
      <c r="G19" s="1389"/>
    </row>
    <row r="20" spans="1:7" s="1359" customFormat="1" ht="27" customHeight="1">
      <c r="A20" s="1374" t="s">
        <v>1558</v>
      </c>
      <c r="B20" s="1379" t="s">
        <v>313</v>
      </c>
      <c r="C20" s="1380" t="s">
        <v>136</v>
      </c>
      <c r="D20" s="1377">
        <v>325000</v>
      </c>
      <c r="E20" s="1377">
        <v>296514.99</v>
      </c>
      <c r="F20" s="1381">
        <f t="shared" si="0"/>
        <v>91.23538153846154</v>
      </c>
      <c r="G20" s="1360"/>
    </row>
    <row r="21" spans="1:7" s="1359" customFormat="1" ht="19.5" customHeight="1">
      <c r="A21" s="1374" t="s">
        <v>1560</v>
      </c>
      <c r="B21" s="1379" t="s">
        <v>313</v>
      </c>
      <c r="C21" s="1380" t="s">
        <v>1387</v>
      </c>
      <c r="D21" s="1377">
        <v>400000</v>
      </c>
      <c r="E21" s="1377">
        <v>348250.38</v>
      </c>
      <c r="F21" s="1381">
        <f t="shared" si="0"/>
        <v>87.062595</v>
      </c>
      <c r="G21" s="1360"/>
    </row>
    <row r="22" spans="1:7" s="1359" customFormat="1" ht="19.5" customHeight="1">
      <c r="A22" s="1374" t="s">
        <v>331</v>
      </c>
      <c r="B22" s="1379" t="s">
        <v>313</v>
      </c>
      <c r="C22" s="1380" t="s">
        <v>1648</v>
      </c>
      <c r="D22" s="1377">
        <v>720000</v>
      </c>
      <c r="E22" s="1377">
        <v>664051.07</v>
      </c>
      <c r="F22" s="1381">
        <f t="shared" si="0"/>
        <v>92.22931527777777</v>
      </c>
      <c r="G22" s="1360"/>
    </row>
    <row r="23" spans="1:7" s="1363" customFormat="1" ht="19.5" customHeight="1">
      <c r="A23" s="2137" t="s">
        <v>316</v>
      </c>
      <c r="B23" s="2138"/>
      <c r="C23" s="2139"/>
      <c r="D23" s="1372">
        <f>SUM(D24,D25)</f>
        <v>186730</v>
      </c>
      <c r="E23" s="1372">
        <f>SUM(E24,E25)</f>
        <v>184436.57</v>
      </c>
      <c r="F23" s="1387">
        <f t="shared" si="0"/>
        <v>98.7717934986344</v>
      </c>
      <c r="G23" s="1362"/>
    </row>
    <row r="24" spans="1:7" s="1359" customFormat="1" ht="19.5" customHeight="1">
      <c r="A24" s="1374" t="s">
        <v>1561</v>
      </c>
      <c r="B24" s="1379" t="s">
        <v>1715</v>
      </c>
      <c r="C24" s="1380" t="s">
        <v>1239</v>
      </c>
      <c r="D24" s="1377">
        <v>66730</v>
      </c>
      <c r="E24" s="1377">
        <v>66729.94</v>
      </c>
      <c r="F24" s="1381">
        <f t="shared" si="0"/>
        <v>99.99991008541885</v>
      </c>
      <c r="G24" s="1360"/>
    </row>
    <row r="25" spans="1:7" s="1359" customFormat="1" ht="19.5" customHeight="1">
      <c r="A25" s="1374" t="s">
        <v>1562</v>
      </c>
      <c r="B25" s="1379" t="s">
        <v>1715</v>
      </c>
      <c r="C25" s="1380" t="s">
        <v>1388</v>
      </c>
      <c r="D25" s="1377">
        <v>120000</v>
      </c>
      <c r="E25" s="1377">
        <v>117706.63</v>
      </c>
      <c r="F25" s="1381">
        <f t="shared" si="0"/>
        <v>98.08885833333333</v>
      </c>
      <c r="G25" s="1360"/>
    </row>
    <row r="26" spans="1:7" s="1363" customFormat="1" ht="19.5" customHeight="1">
      <c r="A26" s="2137" t="s">
        <v>257</v>
      </c>
      <c r="B26" s="2138"/>
      <c r="C26" s="2139"/>
      <c r="D26" s="1372">
        <f>SUM(D27,D28)</f>
        <v>850000</v>
      </c>
      <c r="E26" s="1372">
        <f>SUM(E27,E28)</f>
        <v>708764.69</v>
      </c>
      <c r="F26" s="1387">
        <f t="shared" si="0"/>
        <v>83.38408117647059</v>
      </c>
      <c r="G26" s="1362"/>
    </row>
    <row r="27" spans="1:7" s="1359" customFormat="1" ht="19.5" customHeight="1" hidden="1">
      <c r="A27" s="1374" t="s">
        <v>332</v>
      </c>
      <c r="B27" s="1379" t="s">
        <v>1720</v>
      </c>
      <c r="C27" s="1380" t="s">
        <v>271</v>
      </c>
      <c r="D27" s="1377"/>
      <c r="E27" s="1377"/>
      <c r="F27" s="1381" t="e">
        <f t="shared" si="0"/>
        <v>#DIV/0!</v>
      </c>
      <c r="G27" s="1360"/>
    </row>
    <row r="28" spans="1:7" s="1359" customFormat="1" ht="19.5" customHeight="1">
      <c r="A28" s="1374" t="s">
        <v>332</v>
      </c>
      <c r="B28" s="1379" t="s">
        <v>1720</v>
      </c>
      <c r="C28" s="1380" t="s">
        <v>132</v>
      </c>
      <c r="D28" s="1377">
        <v>850000</v>
      </c>
      <c r="E28" s="1377">
        <v>708764.69</v>
      </c>
      <c r="F28" s="1381">
        <f t="shared" si="0"/>
        <v>83.38408117647059</v>
      </c>
      <c r="G28" s="1360"/>
    </row>
    <row r="29" spans="1:7" s="1359" customFormat="1" ht="19.5" customHeight="1">
      <c r="A29" s="1675"/>
      <c r="B29" s="1676"/>
      <c r="C29" s="1486" t="s">
        <v>957</v>
      </c>
      <c r="D29" s="1487"/>
      <c r="E29" s="1487">
        <v>200000</v>
      </c>
      <c r="F29" s="1488"/>
      <c r="G29" s="1360"/>
    </row>
    <row r="30" spans="1:7" s="1359" customFormat="1" ht="19.5" customHeight="1">
      <c r="A30" s="2137" t="s">
        <v>261</v>
      </c>
      <c r="B30" s="2138"/>
      <c r="C30" s="2139"/>
      <c r="D30" s="1372">
        <f>D31</f>
        <v>800000</v>
      </c>
      <c r="E30" s="1372">
        <f>E31</f>
        <v>465988.02</v>
      </c>
      <c r="F30" s="1387">
        <f>E30/D30*100</f>
        <v>58.2485025</v>
      </c>
      <c r="G30" s="1360"/>
    </row>
    <row r="31" spans="1:7" s="1359" customFormat="1" ht="19.5" customHeight="1">
      <c r="A31" s="1374" t="s">
        <v>1563</v>
      </c>
      <c r="B31" s="1379" t="s">
        <v>256</v>
      </c>
      <c r="C31" s="1380" t="s">
        <v>1389</v>
      </c>
      <c r="D31" s="1377">
        <v>800000</v>
      </c>
      <c r="E31" s="1377">
        <v>465988.02</v>
      </c>
      <c r="F31" s="1381">
        <f>E31/D31*100</f>
        <v>58.2485025</v>
      </c>
      <c r="G31" s="1360"/>
    </row>
    <row r="32" spans="1:7" s="1359" customFormat="1" ht="19.5" customHeight="1">
      <c r="A32" s="2137" t="s">
        <v>1618</v>
      </c>
      <c r="B32" s="2138"/>
      <c r="C32" s="2139"/>
      <c r="D32" s="1372">
        <f>D33</f>
        <v>234000</v>
      </c>
      <c r="E32" s="1372">
        <f>E33</f>
        <v>233362.24</v>
      </c>
      <c r="F32" s="1387">
        <f t="shared" si="0"/>
        <v>99.72745299145299</v>
      </c>
      <c r="G32" s="1360"/>
    </row>
    <row r="33" spans="1:7" s="1359" customFormat="1" ht="19.5" customHeight="1">
      <c r="A33" s="1374" t="s">
        <v>1564</v>
      </c>
      <c r="B33" s="1379" t="s">
        <v>3</v>
      </c>
      <c r="C33" s="1380" t="s">
        <v>1390</v>
      </c>
      <c r="D33" s="1377">
        <v>234000</v>
      </c>
      <c r="E33" s="1377">
        <v>233362.24</v>
      </c>
      <c r="F33" s="1381">
        <f t="shared" si="0"/>
        <v>99.72745299145299</v>
      </c>
      <c r="G33" s="1360"/>
    </row>
    <row r="34" spans="1:7" s="1363" customFormat="1" ht="19.5" customHeight="1">
      <c r="A34" s="2137" t="s">
        <v>13</v>
      </c>
      <c r="B34" s="2138"/>
      <c r="C34" s="2139"/>
      <c r="D34" s="1372">
        <f>SUM(D43,D42,D41,D39,D38,D37,D35)</f>
        <v>457199</v>
      </c>
      <c r="E34" s="1372">
        <f>SUM(E43,E42,E41,E39,E38,E37,E35)</f>
        <v>426681.45999999996</v>
      </c>
      <c r="F34" s="1387">
        <f t="shared" si="0"/>
        <v>93.32510788518785</v>
      </c>
      <c r="G34" s="1362">
        <v>1601026.28</v>
      </c>
    </row>
    <row r="35" spans="1:7" s="1359" customFormat="1" ht="27.75" customHeight="1">
      <c r="A35" s="1374" t="s">
        <v>1565</v>
      </c>
      <c r="B35" s="1379" t="s">
        <v>14</v>
      </c>
      <c r="C35" s="1380" t="s">
        <v>133</v>
      </c>
      <c r="D35" s="1377">
        <v>40180</v>
      </c>
      <c r="E35" s="1377">
        <v>39975</v>
      </c>
      <c r="F35" s="1381">
        <f t="shared" si="0"/>
        <v>99.48979591836735</v>
      </c>
      <c r="G35" s="1404">
        <f>SUM(E35:E41)</f>
        <v>395763.18</v>
      </c>
    </row>
    <row r="36" spans="1:7" s="1390" customFormat="1" ht="20.25" customHeight="1" hidden="1">
      <c r="A36" s="1484"/>
      <c r="B36" s="1485"/>
      <c r="C36" s="1486" t="s">
        <v>957</v>
      </c>
      <c r="D36" s="1483"/>
      <c r="E36" s="1483"/>
      <c r="F36" s="1488"/>
      <c r="G36" s="1472"/>
    </row>
    <row r="37" spans="1:7" s="1359" customFormat="1" ht="21" customHeight="1">
      <c r="A37" s="1374" t="s">
        <v>1566</v>
      </c>
      <c r="B37" s="1379" t="s">
        <v>14</v>
      </c>
      <c r="C37" s="1380" t="s">
        <v>176</v>
      </c>
      <c r="D37" s="1385">
        <v>32100</v>
      </c>
      <c r="E37" s="1385">
        <v>4035.73</v>
      </c>
      <c r="F37" s="1381">
        <f t="shared" si="0"/>
        <v>12.572367601246107</v>
      </c>
      <c r="G37" s="1360"/>
    </row>
    <row r="38" spans="1:7" s="1359" customFormat="1" ht="19.5" customHeight="1">
      <c r="A38" s="1374" t="s">
        <v>1572</v>
      </c>
      <c r="B38" s="1379" t="s">
        <v>14</v>
      </c>
      <c r="C38" s="1380" t="s">
        <v>1391</v>
      </c>
      <c r="D38" s="1385">
        <v>125442</v>
      </c>
      <c r="E38" s="1385">
        <v>124107</v>
      </c>
      <c r="F38" s="1381">
        <f t="shared" si="0"/>
        <v>98.93576314153154</v>
      </c>
      <c r="G38" s="1360"/>
    </row>
    <row r="39" spans="1:7" s="1359" customFormat="1" ht="19.5" customHeight="1">
      <c r="A39" s="1374" t="s">
        <v>1573</v>
      </c>
      <c r="B39" s="1379" t="s">
        <v>1755</v>
      </c>
      <c r="C39" s="1380" t="s">
        <v>134</v>
      </c>
      <c r="D39" s="1385">
        <v>77000</v>
      </c>
      <c r="E39" s="1385">
        <v>76087.76</v>
      </c>
      <c r="F39" s="1386">
        <f t="shared" si="0"/>
        <v>98.81527272727271</v>
      </c>
      <c r="G39" s="1360"/>
    </row>
    <row r="40" spans="1:7" s="1390" customFormat="1" ht="19.5" customHeight="1" hidden="1">
      <c r="A40" s="1484"/>
      <c r="B40" s="1485"/>
      <c r="C40" s="1486" t="s">
        <v>957</v>
      </c>
      <c r="D40" s="1483"/>
      <c r="E40" s="1483"/>
      <c r="F40" s="1471"/>
      <c r="G40" s="1389"/>
    </row>
    <row r="41" spans="1:7" s="1359" customFormat="1" ht="19.5" customHeight="1">
      <c r="A41" s="1374" t="s">
        <v>1574</v>
      </c>
      <c r="B41" s="1379" t="s">
        <v>16</v>
      </c>
      <c r="C41" s="1380" t="s">
        <v>1392</v>
      </c>
      <c r="D41" s="1385">
        <v>151558</v>
      </c>
      <c r="E41" s="1385">
        <v>151557.69</v>
      </c>
      <c r="F41" s="1386">
        <f t="shared" si="0"/>
        <v>99.99979545784453</v>
      </c>
      <c r="G41" s="1360"/>
    </row>
    <row r="42" spans="1:7" s="1359" customFormat="1" ht="26.25" customHeight="1">
      <c r="A42" s="1374" t="s">
        <v>1575</v>
      </c>
      <c r="B42" s="1379" t="s">
        <v>19</v>
      </c>
      <c r="C42" s="1380" t="s">
        <v>529</v>
      </c>
      <c r="D42" s="1385">
        <v>30919</v>
      </c>
      <c r="E42" s="1385">
        <v>30918.28</v>
      </c>
      <c r="F42" s="1386">
        <f t="shared" si="0"/>
        <v>99.99767133477796</v>
      </c>
      <c r="G42" s="1360"/>
    </row>
    <row r="43" spans="1:7" s="1359" customFormat="1" ht="19.5" customHeight="1" hidden="1">
      <c r="A43" s="1374" t="s">
        <v>1183</v>
      </c>
      <c r="B43" s="1379" t="s">
        <v>19</v>
      </c>
      <c r="C43" s="1380"/>
      <c r="D43" s="1385"/>
      <c r="E43" s="1385"/>
      <c r="F43" s="1386" t="e">
        <f t="shared" si="0"/>
        <v>#DIV/0!</v>
      </c>
      <c r="G43" s="1360"/>
    </row>
    <row r="44" spans="1:7" s="1363" customFormat="1" ht="19.5" customHeight="1">
      <c r="A44" s="2140" t="s">
        <v>22</v>
      </c>
      <c r="B44" s="2141"/>
      <c r="C44" s="2142"/>
      <c r="D44" s="1378">
        <f>SUM(D45,D46,D48)</f>
        <v>1030400</v>
      </c>
      <c r="E44" s="1378">
        <f>SUM(E45,E46,E48)</f>
        <v>1013713.41</v>
      </c>
      <c r="F44" s="1373">
        <f t="shared" si="0"/>
        <v>98.38057162267081</v>
      </c>
      <c r="G44" s="1362"/>
    </row>
    <row r="45" spans="1:7" s="1359" customFormat="1" ht="19.5" customHeight="1">
      <c r="A45" s="1374" t="s">
        <v>1183</v>
      </c>
      <c r="B45" s="1379" t="s">
        <v>1770</v>
      </c>
      <c r="C45" s="1380" t="s">
        <v>951</v>
      </c>
      <c r="D45" s="1377">
        <v>570400</v>
      </c>
      <c r="E45" s="1377">
        <v>553713.41</v>
      </c>
      <c r="F45" s="1381">
        <f t="shared" si="0"/>
        <v>97.07458099579243</v>
      </c>
      <c r="G45" s="1360"/>
    </row>
    <row r="46" spans="1:7" s="1359" customFormat="1" ht="19.5" customHeight="1">
      <c r="A46" s="1374" t="s">
        <v>1184</v>
      </c>
      <c r="B46" s="1379" t="s">
        <v>23</v>
      </c>
      <c r="C46" s="1380" t="s">
        <v>401</v>
      </c>
      <c r="D46" s="1377">
        <v>460000</v>
      </c>
      <c r="E46" s="1377">
        <v>460000</v>
      </c>
      <c r="F46" s="1381">
        <f t="shared" si="0"/>
        <v>100</v>
      </c>
      <c r="G46" s="1360"/>
    </row>
    <row r="47" spans="1:7" s="1390" customFormat="1" ht="19.5" customHeight="1" hidden="1">
      <c r="A47" s="1484"/>
      <c r="B47" s="1485"/>
      <c r="C47" s="1486" t="s">
        <v>957</v>
      </c>
      <c r="D47" s="1483"/>
      <c r="E47" s="1483"/>
      <c r="F47" s="1488"/>
      <c r="G47" s="1389"/>
    </row>
    <row r="48" spans="1:7" s="1359" customFormat="1" ht="19.5" customHeight="1" hidden="1">
      <c r="A48" s="1374" t="s">
        <v>1185</v>
      </c>
      <c r="B48" s="1379"/>
      <c r="C48" s="1380"/>
      <c r="D48" s="1385"/>
      <c r="E48" s="1385"/>
      <c r="F48" s="1381" t="e">
        <f t="shared" si="0"/>
        <v>#DIV/0!</v>
      </c>
      <c r="G48" s="1360"/>
    </row>
    <row r="49" spans="1:7" s="1359" customFormat="1" ht="19.5" customHeight="1">
      <c r="A49" s="2137" t="s">
        <v>585</v>
      </c>
      <c r="B49" s="2138"/>
      <c r="C49" s="2139"/>
      <c r="D49" s="1378">
        <f>D50</f>
        <v>165000</v>
      </c>
      <c r="E49" s="1378">
        <f>E50</f>
        <v>15252</v>
      </c>
      <c r="F49" s="1387">
        <f t="shared" si="0"/>
        <v>9.243636363636364</v>
      </c>
      <c r="G49" s="1360"/>
    </row>
    <row r="50" spans="1:7" s="1359" customFormat="1" ht="34.5" customHeight="1">
      <c r="A50" s="1374" t="s">
        <v>1185</v>
      </c>
      <c r="B50" s="1379" t="s">
        <v>584</v>
      </c>
      <c r="C50" s="1380" t="s">
        <v>135</v>
      </c>
      <c r="D50" s="1385">
        <v>165000</v>
      </c>
      <c r="E50" s="1385">
        <v>15252</v>
      </c>
      <c r="F50" s="1381">
        <f t="shared" si="0"/>
        <v>9.243636363636364</v>
      </c>
      <c r="G50" s="1360"/>
    </row>
    <row r="51" spans="1:7" s="1363" customFormat="1" ht="19.5" customHeight="1">
      <c r="A51" s="2137" t="s">
        <v>1247</v>
      </c>
      <c r="B51" s="2138"/>
      <c r="C51" s="2139"/>
      <c r="D51" s="1372">
        <f>SUM(D52,D53,D54,D56,D57,D58,D59,D61)</f>
        <v>8488001</v>
      </c>
      <c r="E51" s="1372">
        <f>SUM(E52,E53,E54,E56,E57,E58,E59,E61)</f>
        <v>7837935.39</v>
      </c>
      <c r="F51" s="1387">
        <f t="shared" si="0"/>
        <v>92.34135799465622</v>
      </c>
      <c r="G51" s="1362"/>
    </row>
    <row r="52" spans="1:7" s="1363" customFormat="1" ht="19.5" customHeight="1">
      <c r="A52" s="1374" t="s">
        <v>1186</v>
      </c>
      <c r="B52" s="1379" t="s">
        <v>1248</v>
      </c>
      <c r="C52" s="1388" t="s">
        <v>777</v>
      </c>
      <c r="D52" s="1377">
        <v>51660</v>
      </c>
      <c r="E52" s="1377">
        <v>51660</v>
      </c>
      <c r="F52" s="1381">
        <f t="shared" si="0"/>
        <v>100</v>
      </c>
      <c r="G52" s="1362"/>
    </row>
    <row r="53" spans="1:7" s="1390" customFormat="1" ht="30" customHeight="1">
      <c r="A53" s="1374" t="s">
        <v>1268</v>
      </c>
      <c r="B53" s="1379" t="s">
        <v>1248</v>
      </c>
      <c r="C53" s="1388" t="s">
        <v>191</v>
      </c>
      <c r="D53" s="1377">
        <v>778000</v>
      </c>
      <c r="E53" s="1377">
        <v>777112</v>
      </c>
      <c r="F53" s="1381">
        <f t="shared" si="0"/>
        <v>99.88586118251928</v>
      </c>
      <c r="G53" s="1389"/>
    </row>
    <row r="54" spans="1:7" s="1390" customFormat="1" ht="19.5" customHeight="1">
      <c r="A54" s="1374" t="s">
        <v>1269</v>
      </c>
      <c r="B54" s="1379" t="s">
        <v>1248</v>
      </c>
      <c r="C54" s="1388" t="s">
        <v>952</v>
      </c>
      <c r="D54" s="1377">
        <v>1173000</v>
      </c>
      <c r="E54" s="1377">
        <v>1172939.03</v>
      </c>
      <c r="F54" s="1381">
        <f t="shared" si="0"/>
        <v>99.99480221653879</v>
      </c>
      <c r="G54" s="1389"/>
    </row>
    <row r="55" spans="1:7" s="1390" customFormat="1" ht="19.5" customHeight="1" hidden="1">
      <c r="A55" s="1484"/>
      <c r="B55" s="1485"/>
      <c r="C55" s="1489" t="s">
        <v>957</v>
      </c>
      <c r="D55" s="1487"/>
      <c r="E55" s="1487"/>
      <c r="F55" s="1488"/>
      <c r="G55" s="1389"/>
    </row>
    <row r="56" spans="1:7" s="1390" customFormat="1" ht="19.5" customHeight="1">
      <c r="A56" s="1374" t="s">
        <v>1270</v>
      </c>
      <c r="B56" s="1379" t="s">
        <v>1248</v>
      </c>
      <c r="C56" s="1914" t="s">
        <v>401</v>
      </c>
      <c r="D56" s="1377">
        <v>3850000</v>
      </c>
      <c r="E56" s="1377">
        <v>3822532.82</v>
      </c>
      <c r="F56" s="1381">
        <f>E56/D56*100</f>
        <v>99.28656675324675</v>
      </c>
      <c r="G56" s="1389"/>
    </row>
    <row r="57" spans="1:7" s="1359" customFormat="1" ht="19.5" customHeight="1">
      <c r="A57" s="1374" t="s">
        <v>418</v>
      </c>
      <c r="B57" s="1379" t="s">
        <v>93</v>
      </c>
      <c r="C57" s="1380" t="s">
        <v>982</v>
      </c>
      <c r="D57" s="1377">
        <v>81500</v>
      </c>
      <c r="E57" s="1377">
        <v>81500.54</v>
      </c>
      <c r="F57" s="1381">
        <f t="shared" si="0"/>
        <v>100.00066257668712</v>
      </c>
      <c r="G57" s="1360"/>
    </row>
    <row r="58" spans="1:7" s="1359" customFormat="1" ht="19.5" customHeight="1">
      <c r="A58" s="1374" t="s">
        <v>419</v>
      </c>
      <c r="B58" s="1391" t="s">
        <v>95</v>
      </c>
      <c r="C58" s="1392" t="s">
        <v>983</v>
      </c>
      <c r="D58" s="1393">
        <v>149841</v>
      </c>
      <c r="E58" s="1393">
        <v>0</v>
      </c>
      <c r="F58" s="1386">
        <f t="shared" si="0"/>
        <v>0</v>
      </c>
      <c r="G58" s="1360"/>
    </row>
    <row r="59" spans="1:7" s="1390" customFormat="1" ht="19.5" customHeight="1">
      <c r="A59" s="1374" t="s">
        <v>1278</v>
      </c>
      <c r="B59" s="1379" t="s">
        <v>95</v>
      </c>
      <c r="C59" s="1388" t="s">
        <v>180</v>
      </c>
      <c r="D59" s="1377">
        <v>2404000</v>
      </c>
      <c r="E59" s="1377">
        <v>1932191</v>
      </c>
      <c r="F59" s="1381">
        <f>E59/D59*100</f>
        <v>80.37400166389351</v>
      </c>
      <c r="G59" s="1389"/>
    </row>
    <row r="60" spans="1:7" s="1390" customFormat="1" ht="19.5" customHeight="1" hidden="1">
      <c r="A60" s="1484"/>
      <c r="B60" s="1485"/>
      <c r="C60" s="1489" t="s">
        <v>957</v>
      </c>
      <c r="D60" s="1487"/>
      <c r="E60" s="1483"/>
      <c r="F60" s="1488"/>
      <c r="G60" s="1389"/>
    </row>
    <row r="61" spans="1:7" s="1390" customFormat="1" ht="19.5" customHeight="1" hidden="1">
      <c r="A61" s="1374" t="s">
        <v>1278</v>
      </c>
      <c r="B61" s="1379"/>
      <c r="C61" s="1388"/>
      <c r="D61" s="1377"/>
      <c r="E61" s="1385"/>
      <c r="F61" s="1381" t="e">
        <f>E61/D61*100</f>
        <v>#DIV/0!</v>
      </c>
      <c r="G61" s="1389"/>
    </row>
    <row r="62" spans="1:7" s="1363" customFormat="1" ht="19.5" customHeight="1">
      <c r="A62" s="2140" t="s">
        <v>1641</v>
      </c>
      <c r="B62" s="2141"/>
      <c r="C62" s="2142"/>
      <c r="D62" s="1378">
        <f>SUM(D63,D64,D65)</f>
        <v>2803000</v>
      </c>
      <c r="E62" s="1378">
        <f>SUM(E63,E64,E65)</f>
        <v>2753097.85</v>
      </c>
      <c r="F62" s="1373">
        <f t="shared" si="0"/>
        <v>98.21968783446307</v>
      </c>
      <c r="G62" s="1362"/>
    </row>
    <row r="63" spans="1:7" s="1359" customFormat="1" ht="19.5" customHeight="1">
      <c r="A63" s="1374" t="s">
        <v>29</v>
      </c>
      <c r="B63" s="1379" t="s">
        <v>122</v>
      </c>
      <c r="C63" s="1380" t="s">
        <v>1280</v>
      </c>
      <c r="D63" s="1377">
        <v>2700000</v>
      </c>
      <c r="E63" s="1377">
        <v>2685093.95</v>
      </c>
      <c r="F63" s="1386">
        <f t="shared" si="0"/>
        <v>99.44792407407408</v>
      </c>
      <c r="G63" s="1360"/>
    </row>
    <row r="64" spans="1:7" s="1359" customFormat="1" ht="19.5" customHeight="1">
      <c r="A64" s="1374" t="s">
        <v>415</v>
      </c>
      <c r="B64" s="1379" t="s">
        <v>122</v>
      </c>
      <c r="C64" s="1380" t="s">
        <v>137</v>
      </c>
      <c r="D64" s="1377">
        <v>103000</v>
      </c>
      <c r="E64" s="1377">
        <v>68003.9</v>
      </c>
      <c r="F64" s="1386">
        <f t="shared" si="0"/>
        <v>66.02320388349514</v>
      </c>
      <c r="G64" s="1360"/>
    </row>
    <row r="65" spans="1:7" s="1359" customFormat="1" ht="19.5" customHeight="1" hidden="1">
      <c r="A65" s="1374" t="s">
        <v>437</v>
      </c>
      <c r="B65" s="1379"/>
      <c r="C65" s="1380"/>
      <c r="D65" s="1377"/>
      <c r="E65" s="1377"/>
      <c r="F65" s="1381" t="e">
        <f t="shared" si="0"/>
        <v>#DIV/0!</v>
      </c>
      <c r="G65" s="1360"/>
    </row>
    <row r="66" spans="1:8" s="1363" customFormat="1" ht="19.5" customHeight="1" thickBot="1">
      <c r="A66" s="2134" t="s">
        <v>60</v>
      </c>
      <c r="B66" s="2135"/>
      <c r="C66" s="2136"/>
      <c r="D66" s="1394">
        <f>SUM(D6,D9,D23,D26,D30,D32,D34,D44,D49,D51,D62)</f>
        <v>32793355</v>
      </c>
      <c r="E66" s="2217">
        <f>SUM(E6,E9,E23,E26,E30,E32,E34,E44,E49,E51,E62)</f>
        <v>30007919.640000004</v>
      </c>
      <c r="F66" s="2218">
        <f t="shared" si="0"/>
        <v>91.50609823240106</v>
      </c>
      <c r="G66" s="1362" t="s">
        <v>954</v>
      </c>
      <c r="H66" s="1403">
        <v>54802465.57</v>
      </c>
    </row>
    <row r="67" spans="1:7" s="1400" customFormat="1" ht="13.5" customHeight="1">
      <c r="A67" s="1395"/>
      <c r="B67" s="1395"/>
      <c r="C67" s="1396"/>
      <c r="D67" s="1397"/>
      <c r="E67" s="1397"/>
      <c r="F67" s="1398"/>
      <c r="G67" s="1399"/>
    </row>
    <row r="68" spans="1:7" s="1400" customFormat="1" ht="13.5" customHeight="1" hidden="1">
      <c r="A68" s="1399"/>
      <c r="B68" s="1399"/>
      <c r="C68" s="1401" t="s">
        <v>177</v>
      </c>
      <c r="D68" s="1402">
        <v>57679747</v>
      </c>
      <c r="E68" s="1402">
        <v>49938597.57</v>
      </c>
      <c r="F68" s="1398"/>
      <c r="G68" s="1399"/>
    </row>
    <row r="69" spans="1:7" s="1400" customFormat="1" ht="13.5" customHeight="1" hidden="1">
      <c r="A69" s="1399"/>
      <c r="B69" s="1399"/>
      <c r="C69" s="1401"/>
      <c r="D69" s="1402">
        <v>0</v>
      </c>
      <c r="E69" s="1402">
        <v>4863868</v>
      </c>
      <c r="F69" s="1398"/>
      <c r="G69" s="1399" t="s">
        <v>953</v>
      </c>
    </row>
    <row r="70" spans="1:7" s="1400" customFormat="1" ht="39" customHeight="1" hidden="1">
      <c r="A70" s="1399"/>
      <c r="B70" s="1399"/>
      <c r="C70" s="1401" t="s">
        <v>1445</v>
      </c>
      <c r="D70" s="1397">
        <f>D66-D68-D69</f>
        <v>-24886392</v>
      </c>
      <c r="E70" s="1397">
        <f>E66-E68-E69</f>
        <v>-24794545.929999996</v>
      </c>
      <c r="F70" s="1398"/>
      <c r="G70" s="1399" t="s">
        <v>955</v>
      </c>
    </row>
    <row r="71" s="1359" customFormat="1" ht="9.75" customHeight="1">
      <c r="G71" s="1360"/>
    </row>
  </sheetData>
  <sheetProtection password="CF53" sheet="1" formatCells="0" formatColumns="0" formatRows="0" insertColumns="0" insertRows="0" insertHyperlinks="0" deleteColumns="0" deleteRows="0" sort="0" autoFilter="0" pivotTables="0"/>
  <mergeCells count="14">
    <mergeCell ref="A30:C30"/>
    <mergeCell ref="A23:C23"/>
    <mergeCell ref="A26:C26"/>
    <mergeCell ref="E1:F1"/>
    <mergeCell ref="A2:F2"/>
    <mergeCell ref="A6:C6"/>
    <mergeCell ref="A9:C9"/>
    <mergeCell ref="A66:C66"/>
    <mergeCell ref="A32:C32"/>
    <mergeCell ref="A34:C34"/>
    <mergeCell ref="A44:C44"/>
    <mergeCell ref="A49:C49"/>
    <mergeCell ref="A51:C51"/>
    <mergeCell ref="A62:C62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K35"/>
  <sheetViews>
    <sheetView view="pageBreakPreview" zoomScaleSheetLayoutView="100" zoomScalePageLayoutView="0" workbookViewId="0" topLeftCell="A1">
      <pane ySplit="7" topLeftCell="A8" activePane="bottomLeft" state="frozen"/>
      <selection pane="topLeft" activeCell="I244" sqref="I244"/>
      <selection pane="bottomLeft" activeCell="I1" sqref="I1"/>
    </sheetView>
  </sheetViews>
  <sheetFormatPr defaultColWidth="9.00390625" defaultRowHeight="12.75"/>
  <cols>
    <col min="1" max="1" width="5.625" style="1301" customWidth="1"/>
    <col min="2" max="2" width="7.75390625" style="1301" customWidth="1"/>
    <col min="3" max="3" width="34.00390625" style="1302" customWidth="1"/>
    <col min="4" max="4" width="14.625" style="1302" customWidth="1"/>
    <col min="5" max="6" width="12.25390625" style="1302" customWidth="1"/>
    <col min="7" max="7" width="12.125" style="1302" customWidth="1"/>
    <col min="8" max="8" width="12.25390625" style="1302" customWidth="1"/>
    <col min="9" max="9" width="14.625" style="1302" customWidth="1"/>
    <col min="10" max="10" width="10.375" style="1302" hidden="1" customWidth="1"/>
    <col min="11" max="11" width="9.00390625" style="1302" hidden="1" customWidth="1"/>
    <col min="12" max="16384" width="9.125" style="1302" customWidth="1"/>
  </cols>
  <sheetData>
    <row r="1" spans="8:9" ht="12.75">
      <c r="H1" s="99"/>
      <c r="I1" s="1761" t="s">
        <v>919</v>
      </c>
    </row>
    <row r="2" ht="12.75" customHeight="1">
      <c r="H2" s="99"/>
    </row>
    <row r="3" spans="1:9" s="97" customFormat="1" ht="21" customHeight="1">
      <c r="A3" s="2148" t="s">
        <v>921</v>
      </c>
      <c r="B3" s="2148"/>
      <c r="C3" s="2148"/>
      <c r="D3" s="2148"/>
      <c r="E3" s="2148"/>
      <c r="F3" s="2148"/>
      <c r="G3" s="2148"/>
      <c r="H3" s="2148"/>
      <c r="I3" s="2148"/>
    </row>
    <row r="4" spans="8:10" ht="19.5" customHeight="1" thickBot="1">
      <c r="H4" s="810"/>
      <c r="I4" s="810" t="s">
        <v>208</v>
      </c>
      <c r="J4" s="810"/>
    </row>
    <row r="5" spans="1:9" s="1212" customFormat="1" ht="17.25" customHeight="1">
      <c r="A5" s="2056" t="s">
        <v>125</v>
      </c>
      <c r="B5" s="2151" t="s">
        <v>209</v>
      </c>
      <c r="C5" s="2054" t="s">
        <v>1681</v>
      </c>
      <c r="D5" s="1972" t="s">
        <v>810</v>
      </c>
      <c r="E5" s="2053" t="s">
        <v>275</v>
      </c>
      <c r="F5" s="2053"/>
      <c r="G5" s="2053" t="s">
        <v>1212</v>
      </c>
      <c r="H5" s="2075"/>
      <c r="I5" s="2076" t="s">
        <v>811</v>
      </c>
    </row>
    <row r="6" spans="1:9" s="1212" customFormat="1" ht="39.75" customHeight="1">
      <c r="A6" s="2057"/>
      <c r="B6" s="2152"/>
      <c r="C6" s="2074"/>
      <c r="D6" s="1973"/>
      <c r="E6" s="1178" t="s">
        <v>211</v>
      </c>
      <c r="F6" s="818" t="s">
        <v>212</v>
      </c>
      <c r="G6" s="1178" t="s">
        <v>211</v>
      </c>
      <c r="H6" s="1176" t="s">
        <v>212</v>
      </c>
      <c r="I6" s="2147"/>
    </row>
    <row r="7" spans="1:11" s="1307" customFormat="1" ht="12.75" customHeight="1">
      <c r="A7" s="1226" t="s">
        <v>430</v>
      </c>
      <c r="B7" s="1303" t="s">
        <v>592</v>
      </c>
      <c r="C7" s="1304">
        <v>3</v>
      </c>
      <c r="D7" s="1304">
        <v>4</v>
      </c>
      <c r="E7" s="1304">
        <v>5</v>
      </c>
      <c r="F7" s="1305">
        <v>6</v>
      </c>
      <c r="G7" s="1305">
        <v>7</v>
      </c>
      <c r="H7" s="1304">
        <v>8</v>
      </c>
      <c r="I7" s="1306">
        <v>9</v>
      </c>
      <c r="K7" s="1307" t="s">
        <v>1445</v>
      </c>
    </row>
    <row r="8" spans="1:11" s="1311" customFormat="1" ht="18.75" customHeight="1">
      <c r="A8" s="2145" t="s">
        <v>945</v>
      </c>
      <c r="B8" s="2146"/>
      <c r="C8" s="2146"/>
      <c r="D8" s="1308">
        <f aca="true" t="shared" si="0" ref="D8:I8">SUM(D9,D15,D22,D26)</f>
        <v>0</v>
      </c>
      <c r="E8" s="1308">
        <f t="shared" si="0"/>
        <v>2924665</v>
      </c>
      <c r="F8" s="1308">
        <f t="shared" si="0"/>
        <v>2421337.7800000003</v>
      </c>
      <c r="G8" s="1308">
        <f t="shared" si="0"/>
        <v>2924665</v>
      </c>
      <c r="H8" s="1308">
        <f t="shared" si="0"/>
        <v>2421337.7800000003</v>
      </c>
      <c r="I8" s="1309">
        <f t="shared" si="0"/>
        <v>0</v>
      </c>
      <c r="J8" s="1310">
        <f>D8+F8-H8</f>
        <v>0</v>
      </c>
      <c r="K8" s="1310">
        <f aca="true" t="shared" si="1" ref="K8:K25">I8-J8</f>
        <v>0</v>
      </c>
    </row>
    <row r="9" spans="1:11" s="1317" customFormat="1" ht="24.75" customHeight="1">
      <c r="A9" s="1312" t="s">
        <v>12</v>
      </c>
      <c r="B9" s="1313" t="s">
        <v>14</v>
      </c>
      <c r="C9" s="1314" t="s">
        <v>15</v>
      </c>
      <c r="D9" s="1315">
        <f aca="true" t="shared" si="2" ref="D9:I9">SUM(D10,D11,D12,D13,D14)</f>
        <v>0</v>
      </c>
      <c r="E9" s="1315">
        <f t="shared" si="2"/>
        <v>1090250</v>
      </c>
      <c r="F9" s="1315">
        <f t="shared" si="2"/>
        <v>894672.4100000001</v>
      </c>
      <c r="G9" s="1315">
        <f t="shared" si="2"/>
        <v>1090250</v>
      </c>
      <c r="H9" s="1315">
        <f t="shared" si="2"/>
        <v>894672.4100000001</v>
      </c>
      <c r="I9" s="1316">
        <f t="shared" si="2"/>
        <v>0</v>
      </c>
      <c r="J9" s="1310">
        <f>D9+F9-H9</f>
        <v>0</v>
      </c>
      <c r="K9" s="1310">
        <f t="shared" si="1"/>
        <v>0</v>
      </c>
    </row>
    <row r="10" spans="1:11" s="102" customFormat="1" ht="24.75" customHeight="1">
      <c r="A10" s="1318" t="s">
        <v>12</v>
      </c>
      <c r="B10" s="1319" t="s">
        <v>14</v>
      </c>
      <c r="C10" s="1320" t="s">
        <v>928</v>
      </c>
      <c r="D10" s="1321">
        <v>0</v>
      </c>
      <c r="E10" s="1321">
        <v>240000</v>
      </c>
      <c r="F10" s="1321">
        <v>206671.01</v>
      </c>
      <c r="G10" s="1321">
        <v>240000</v>
      </c>
      <c r="H10" s="1322">
        <v>206671.01</v>
      </c>
      <c r="I10" s="1323">
        <f>D10+F10-H10</f>
        <v>0</v>
      </c>
      <c r="J10" s="598">
        <f aca="true" t="shared" si="3" ref="J10:J25">D10+F10-H10</f>
        <v>0</v>
      </c>
      <c r="K10" s="583">
        <f t="shared" si="1"/>
        <v>0</v>
      </c>
    </row>
    <row r="11" spans="1:11" s="102" customFormat="1" ht="24.75" customHeight="1">
      <c r="A11" s="1318" t="s">
        <v>12</v>
      </c>
      <c r="B11" s="1319" t="s">
        <v>14</v>
      </c>
      <c r="C11" s="1320" t="s">
        <v>929</v>
      </c>
      <c r="D11" s="1321">
        <v>0</v>
      </c>
      <c r="E11" s="1321">
        <v>150000</v>
      </c>
      <c r="F11" s="1321">
        <v>116797.41</v>
      </c>
      <c r="G11" s="1321">
        <v>150000</v>
      </c>
      <c r="H11" s="1322">
        <v>116797.41</v>
      </c>
      <c r="I11" s="1323">
        <f>D11+F11-H11</f>
        <v>0</v>
      </c>
      <c r="J11" s="598">
        <f t="shared" si="3"/>
        <v>0</v>
      </c>
      <c r="K11" s="583">
        <f t="shared" si="1"/>
        <v>0</v>
      </c>
    </row>
    <row r="12" spans="1:11" s="102" customFormat="1" ht="27" customHeight="1">
      <c r="A12" s="1318" t="s">
        <v>12</v>
      </c>
      <c r="B12" s="1319" t="s">
        <v>14</v>
      </c>
      <c r="C12" s="1320" t="s">
        <v>1709</v>
      </c>
      <c r="D12" s="1321">
        <v>0</v>
      </c>
      <c r="E12" s="1321">
        <v>390000</v>
      </c>
      <c r="F12" s="1321">
        <v>287363.91</v>
      </c>
      <c r="G12" s="1321">
        <v>390000</v>
      </c>
      <c r="H12" s="1322">
        <v>287363.91</v>
      </c>
      <c r="I12" s="1323">
        <f>D12+F12-H12</f>
        <v>0</v>
      </c>
      <c r="J12" s="598">
        <f t="shared" si="3"/>
        <v>0</v>
      </c>
      <c r="K12" s="583">
        <f t="shared" si="1"/>
        <v>0</v>
      </c>
    </row>
    <row r="13" spans="1:11" s="102" customFormat="1" ht="24.75" customHeight="1">
      <c r="A13" s="1324" t="s">
        <v>12</v>
      </c>
      <c r="B13" s="1325" t="s">
        <v>14</v>
      </c>
      <c r="C13" s="1326" t="s">
        <v>930</v>
      </c>
      <c r="D13" s="1327">
        <v>0</v>
      </c>
      <c r="E13" s="1327">
        <v>150240</v>
      </c>
      <c r="F13" s="1327">
        <v>139069.29</v>
      </c>
      <c r="G13" s="1327">
        <v>150240</v>
      </c>
      <c r="H13" s="1328">
        <v>139069.29</v>
      </c>
      <c r="I13" s="1323">
        <f>D13+F13-H13</f>
        <v>0</v>
      </c>
      <c r="J13" s="598">
        <f t="shared" si="3"/>
        <v>0</v>
      </c>
      <c r="K13" s="583">
        <f t="shared" si="1"/>
        <v>0</v>
      </c>
    </row>
    <row r="14" spans="1:11" s="102" customFormat="1" ht="24.75" customHeight="1">
      <c r="A14" s="1329" t="s">
        <v>12</v>
      </c>
      <c r="B14" s="1330" t="s">
        <v>14</v>
      </c>
      <c r="C14" s="1331" t="s">
        <v>1406</v>
      </c>
      <c r="D14" s="1332">
        <v>0</v>
      </c>
      <c r="E14" s="1332">
        <v>160010</v>
      </c>
      <c r="F14" s="1332">
        <v>144770.79</v>
      </c>
      <c r="G14" s="1332">
        <v>160010</v>
      </c>
      <c r="H14" s="1333">
        <v>144770.79</v>
      </c>
      <c r="I14" s="1323">
        <f>D14+F14-H14</f>
        <v>0</v>
      </c>
      <c r="J14" s="598">
        <f t="shared" si="3"/>
        <v>0</v>
      </c>
      <c r="K14" s="583">
        <f t="shared" si="1"/>
        <v>0</v>
      </c>
    </row>
    <row r="15" spans="1:11" s="97" customFormat="1" ht="24.75" customHeight="1">
      <c r="A15" s="1334" t="s">
        <v>12</v>
      </c>
      <c r="B15" s="1335" t="s">
        <v>1755</v>
      </c>
      <c r="C15" s="1336" t="s">
        <v>1756</v>
      </c>
      <c r="D15" s="1337">
        <f aca="true" t="shared" si="4" ref="D15:I15">SUM(D16:D21)</f>
        <v>0</v>
      </c>
      <c r="E15" s="1337">
        <f t="shared" si="4"/>
        <v>873155</v>
      </c>
      <c r="F15" s="1337">
        <f t="shared" si="4"/>
        <v>794400.51</v>
      </c>
      <c r="G15" s="1337">
        <f t="shared" si="4"/>
        <v>873155</v>
      </c>
      <c r="H15" s="1337">
        <f t="shared" si="4"/>
        <v>794400.51</v>
      </c>
      <c r="I15" s="1338">
        <f t="shared" si="4"/>
        <v>0</v>
      </c>
      <c r="J15" s="583">
        <f aca="true" t="shared" si="5" ref="J15:J21">D15+F15-H15</f>
        <v>0</v>
      </c>
      <c r="K15" s="583">
        <f aca="true" t="shared" si="6" ref="K15:K21">I15-J15</f>
        <v>0</v>
      </c>
    </row>
    <row r="16" spans="1:11" s="102" customFormat="1" ht="24.75" customHeight="1">
      <c r="A16" s="1318" t="s">
        <v>12</v>
      </c>
      <c r="B16" s="1319" t="s">
        <v>1755</v>
      </c>
      <c r="C16" s="1320" t="s">
        <v>787</v>
      </c>
      <c r="D16" s="1321">
        <v>0</v>
      </c>
      <c r="E16" s="1321">
        <v>201600</v>
      </c>
      <c r="F16" s="1321">
        <v>199854.33</v>
      </c>
      <c r="G16" s="1321">
        <v>201600</v>
      </c>
      <c r="H16" s="1322">
        <v>199854.33</v>
      </c>
      <c r="I16" s="1323">
        <f aca="true" t="shared" si="7" ref="I16:I21">D16+F16-H16</f>
        <v>0</v>
      </c>
      <c r="J16" s="598">
        <f t="shared" si="5"/>
        <v>0</v>
      </c>
      <c r="K16" s="583">
        <f t="shared" si="6"/>
        <v>0</v>
      </c>
    </row>
    <row r="17" spans="1:11" s="102" customFormat="1" ht="24.75" customHeight="1">
      <c r="A17" s="1318" t="s">
        <v>12</v>
      </c>
      <c r="B17" s="1319" t="s">
        <v>1755</v>
      </c>
      <c r="C17" s="1320" t="s">
        <v>788</v>
      </c>
      <c r="D17" s="1321">
        <v>0</v>
      </c>
      <c r="E17" s="1321">
        <v>173730</v>
      </c>
      <c r="F17" s="1321">
        <v>167590.75</v>
      </c>
      <c r="G17" s="1321">
        <v>173730</v>
      </c>
      <c r="H17" s="1322">
        <v>167590.75</v>
      </c>
      <c r="I17" s="1323">
        <f t="shared" si="7"/>
        <v>0</v>
      </c>
      <c r="J17" s="598">
        <f t="shared" si="5"/>
        <v>0</v>
      </c>
      <c r="K17" s="583">
        <f t="shared" si="6"/>
        <v>0</v>
      </c>
    </row>
    <row r="18" spans="1:11" s="102" customFormat="1" ht="24.75" customHeight="1">
      <c r="A18" s="1318" t="s">
        <v>12</v>
      </c>
      <c r="B18" s="1319" t="s">
        <v>1755</v>
      </c>
      <c r="C18" s="1320" t="s">
        <v>789</v>
      </c>
      <c r="D18" s="1321">
        <v>0</v>
      </c>
      <c r="E18" s="1321">
        <v>92935</v>
      </c>
      <c r="F18" s="1321">
        <v>87899.79</v>
      </c>
      <c r="G18" s="1321">
        <v>92935</v>
      </c>
      <c r="H18" s="1322">
        <v>87899.79</v>
      </c>
      <c r="I18" s="1323">
        <f t="shared" si="7"/>
        <v>0</v>
      </c>
      <c r="J18" s="598">
        <f t="shared" si="5"/>
        <v>0</v>
      </c>
      <c r="K18" s="583">
        <f t="shared" si="6"/>
        <v>0</v>
      </c>
    </row>
    <row r="19" spans="1:11" s="102" customFormat="1" ht="24.75" customHeight="1">
      <c r="A19" s="1318" t="s">
        <v>12</v>
      </c>
      <c r="B19" s="1319" t="s">
        <v>1755</v>
      </c>
      <c r="C19" s="1320" t="s">
        <v>790</v>
      </c>
      <c r="D19" s="1321">
        <v>0</v>
      </c>
      <c r="E19" s="1321">
        <v>160800</v>
      </c>
      <c r="F19" s="1321">
        <v>101434.88</v>
      </c>
      <c r="G19" s="1321">
        <v>160800</v>
      </c>
      <c r="H19" s="1322">
        <v>101434.88</v>
      </c>
      <c r="I19" s="1323">
        <f t="shared" si="7"/>
        <v>0</v>
      </c>
      <c r="J19" s="598">
        <f t="shared" si="5"/>
        <v>0</v>
      </c>
      <c r="K19" s="583">
        <f t="shared" si="6"/>
        <v>0</v>
      </c>
    </row>
    <row r="20" spans="1:11" s="102" customFormat="1" ht="24.75" customHeight="1">
      <c r="A20" s="1318" t="s">
        <v>12</v>
      </c>
      <c r="B20" s="1319" t="s">
        <v>1755</v>
      </c>
      <c r="C20" s="1320" t="s">
        <v>791</v>
      </c>
      <c r="D20" s="1321">
        <v>0</v>
      </c>
      <c r="E20" s="1321">
        <v>153864</v>
      </c>
      <c r="F20" s="1321">
        <v>153650.29</v>
      </c>
      <c r="G20" s="1321">
        <v>153864</v>
      </c>
      <c r="H20" s="1322">
        <v>153650.29</v>
      </c>
      <c r="I20" s="1323">
        <f t="shared" si="7"/>
        <v>0</v>
      </c>
      <c r="J20" s="598">
        <f t="shared" si="5"/>
        <v>0</v>
      </c>
      <c r="K20" s="583">
        <f t="shared" si="6"/>
        <v>0</v>
      </c>
    </row>
    <row r="21" spans="1:11" s="102" customFormat="1" ht="24.75" customHeight="1">
      <c r="A21" s="1318" t="s">
        <v>12</v>
      </c>
      <c r="B21" s="1319" t="s">
        <v>1755</v>
      </c>
      <c r="C21" s="1320" t="s">
        <v>792</v>
      </c>
      <c r="D21" s="1321">
        <v>0</v>
      </c>
      <c r="E21" s="1321">
        <v>90226</v>
      </c>
      <c r="F21" s="1321">
        <v>83970.47</v>
      </c>
      <c r="G21" s="1321">
        <v>90226</v>
      </c>
      <c r="H21" s="1322">
        <v>83970.47</v>
      </c>
      <c r="I21" s="1323">
        <f t="shared" si="7"/>
        <v>0</v>
      </c>
      <c r="J21" s="598">
        <f t="shared" si="5"/>
        <v>0</v>
      </c>
      <c r="K21" s="583">
        <f t="shared" si="6"/>
        <v>0</v>
      </c>
    </row>
    <row r="22" spans="1:11" s="97" customFormat="1" ht="24.75" customHeight="1">
      <c r="A22" s="1334" t="s">
        <v>12</v>
      </c>
      <c r="B22" s="1335" t="s">
        <v>16</v>
      </c>
      <c r="C22" s="1336" t="s">
        <v>17</v>
      </c>
      <c r="D22" s="1337">
        <f aca="true" t="shared" si="8" ref="D22:I22">SUM(D23,D24,D25)</f>
        <v>0</v>
      </c>
      <c r="E22" s="1337">
        <f t="shared" si="8"/>
        <v>961260</v>
      </c>
      <c r="F22" s="1337">
        <f t="shared" si="8"/>
        <v>732264.8600000001</v>
      </c>
      <c r="G22" s="1337">
        <f t="shared" si="8"/>
        <v>961260</v>
      </c>
      <c r="H22" s="1337">
        <f t="shared" si="8"/>
        <v>732264.8600000001</v>
      </c>
      <c r="I22" s="1338">
        <f t="shared" si="8"/>
        <v>0</v>
      </c>
      <c r="J22" s="583">
        <f t="shared" si="3"/>
        <v>0</v>
      </c>
      <c r="K22" s="583">
        <f t="shared" si="1"/>
        <v>0</v>
      </c>
    </row>
    <row r="23" spans="1:11" s="102" customFormat="1" ht="24.75" customHeight="1">
      <c r="A23" s="1318" t="s">
        <v>12</v>
      </c>
      <c r="B23" s="1319" t="s">
        <v>16</v>
      </c>
      <c r="C23" s="1320" t="s">
        <v>722</v>
      </c>
      <c r="D23" s="1321">
        <v>0</v>
      </c>
      <c r="E23" s="1321">
        <v>760000</v>
      </c>
      <c r="F23" s="1321">
        <v>594713.5</v>
      </c>
      <c r="G23" s="1321">
        <v>760000</v>
      </c>
      <c r="H23" s="1322">
        <v>594713.5</v>
      </c>
      <c r="I23" s="1323">
        <f>D23+F23-H23</f>
        <v>0</v>
      </c>
      <c r="J23" s="598">
        <f t="shared" si="3"/>
        <v>0</v>
      </c>
      <c r="K23" s="583">
        <f t="shared" si="1"/>
        <v>0</v>
      </c>
    </row>
    <row r="24" spans="1:11" s="102" customFormat="1" ht="24.75" customHeight="1">
      <c r="A24" s="1318" t="s">
        <v>12</v>
      </c>
      <c r="B24" s="1319" t="s">
        <v>16</v>
      </c>
      <c r="C24" s="1320" t="s">
        <v>933</v>
      </c>
      <c r="D24" s="1321">
        <v>0</v>
      </c>
      <c r="E24" s="1321">
        <v>141250</v>
      </c>
      <c r="F24" s="1321">
        <v>89896.31</v>
      </c>
      <c r="G24" s="1321">
        <v>141250</v>
      </c>
      <c r="H24" s="1322">
        <v>89896.31</v>
      </c>
      <c r="I24" s="1323">
        <f>D24+F24-H24</f>
        <v>0</v>
      </c>
      <c r="J24" s="598">
        <f t="shared" si="3"/>
        <v>0</v>
      </c>
      <c r="K24" s="583">
        <f t="shared" si="1"/>
        <v>0</v>
      </c>
    </row>
    <row r="25" spans="1:11" s="102" customFormat="1" ht="24.75" customHeight="1">
      <c r="A25" s="1329" t="s">
        <v>12</v>
      </c>
      <c r="B25" s="1330" t="s">
        <v>16</v>
      </c>
      <c r="C25" s="1331" t="s">
        <v>934</v>
      </c>
      <c r="D25" s="1332">
        <v>0</v>
      </c>
      <c r="E25" s="1332">
        <v>60010</v>
      </c>
      <c r="F25" s="1332">
        <v>47655.05</v>
      </c>
      <c r="G25" s="1332">
        <v>60010</v>
      </c>
      <c r="H25" s="1333">
        <v>47655.05</v>
      </c>
      <c r="I25" s="1323">
        <f>D25+F25-H25</f>
        <v>0</v>
      </c>
      <c r="J25" s="598">
        <f t="shared" si="3"/>
        <v>0</v>
      </c>
      <c r="K25" s="583">
        <f t="shared" si="1"/>
        <v>0</v>
      </c>
    </row>
    <row r="26" spans="1:11" s="97" customFormat="1" ht="24.75" customHeight="1" hidden="1">
      <c r="A26" s="1231" t="s">
        <v>35</v>
      </c>
      <c r="B26" s="1339" t="s">
        <v>85</v>
      </c>
      <c r="C26" s="1340" t="s">
        <v>814</v>
      </c>
      <c r="D26" s="1256">
        <v>0</v>
      </c>
      <c r="E26" s="1256">
        <v>0</v>
      </c>
      <c r="F26" s="1256">
        <v>0</v>
      </c>
      <c r="G26" s="1256">
        <v>0</v>
      </c>
      <c r="H26" s="1341">
        <v>0</v>
      </c>
      <c r="I26" s="1194">
        <f>D26+F26-H26</f>
        <v>0</v>
      </c>
      <c r="J26" s="583">
        <f>D26+F26-H26</f>
        <v>0</v>
      </c>
      <c r="K26" s="583">
        <f>I26-J26</f>
        <v>0</v>
      </c>
    </row>
    <row r="27" spans="1:11" s="96" customFormat="1" ht="21" customHeight="1">
      <c r="A27" s="1995" t="s">
        <v>1658</v>
      </c>
      <c r="B27" s="1996"/>
      <c r="C27" s="1997"/>
      <c r="D27" s="1342">
        <f aca="true" t="shared" si="9" ref="D27:I27">SUM(D28,D29,D32,D33,D34)</f>
        <v>587.18</v>
      </c>
      <c r="E27" s="1342">
        <f t="shared" si="9"/>
        <v>1636427</v>
      </c>
      <c r="F27" s="1342">
        <f t="shared" si="9"/>
        <v>1378547.6400000001</v>
      </c>
      <c r="G27" s="1342">
        <f t="shared" si="9"/>
        <v>1636427</v>
      </c>
      <c r="H27" s="1342">
        <f t="shared" si="9"/>
        <v>1378304.8199999998</v>
      </c>
      <c r="I27" s="1343">
        <f t="shared" si="9"/>
        <v>830</v>
      </c>
      <c r="J27" s="583">
        <f>D27+F27-H27</f>
        <v>830.0000000002328</v>
      </c>
      <c r="K27" s="583">
        <f>I27-J27</f>
        <v>-2.3283064365386963E-10</v>
      </c>
    </row>
    <row r="28" spans="1:11" s="97" customFormat="1" ht="26.25" customHeight="1">
      <c r="A28" s="1231" t="s">
        <v>12</v>
      </c>
      <c r="B28" s="1339" t="s">
        <v>18</v>
      </c>
      <c r="C28" s="1340" t="s">
        <v>1682</v>
      </c>
      <c r="D28" s="1256">
        <v>587.18</v>
      </c>
      <c r="E28" s="1256">
        <v>152005</v>
      </c>
      <c r="F28" s="1256">
        <v>137342.86</v>
      </c>
      <c r="G28" s="1256">
        <v>152005</v>
      </c>
      <c r="H28" s="1341">
        <v>137930.04</v>
      </c>
      <c r="I28" s="1194">
        <f>D28+F28-H28</f>
        <v>0</v>
      </c>
      <c r="J28" s="583">
        <f>D28+F28-H28</f>
        <v>0</v>
      </c>
      <c r="K28" s="583">
        <f>I28-J28</f>
        <v>0</v>
      </c>
    </row>
    <row r="29" spans="1:11" s="97" customFormat="1" ht="24.75" customHeight="1">
      <c r="A29" s="1334" t="s">
        <v>12</v>
      </c>
      <c r="B29" s="1335" t="s">
        <v>19</v>
      </c>
      <c r="C29" s="1336" t="s">
        <v>20</v>
      </c>
      <c r="D29" s="1337">
        <f aca="true" t="shared" si="10" ref="D29:I29">SUM(D30,D31)</f>
        <v>0</v>
      </c>
      <c r="E29" s="1337">
        <f t="shared" si="10"/>
        <v>428600</v>
      </c>
      <c r="F29" s="1337">
        <f t="shared" si="10"/>
        <v>356070.69</v>
      </c>
      <c r="G29" s="1337">
        <f t="shared" si="10"/>
        <v>428600</v>
      </c>
      <c r="H29" s="1337">
        <f t="shared" si="10"/>
        <v>356070.69</v>
      </c>
      <c r="I29" s="1338">
        <f t="shared" si="10"/>
        <v>0</v>
      </c>
      <c r="J29" s="583">
        <f aca="true" t="shared" si="11" ref="J29:J35">D29+F29-H29</f>
        <v>0</v>
      </c>
      <c r="K29" s="583">
        <f aca="true" t="shared" si="12" ref="K29:K35">I29-J29</f>
        <v>0</v>
      </c>
    </row>
    <row r="30" spans="1:11" s="102" customFormat="1" ht="24.75" customHeight="1">
      <c r="A30" s="1318" t="s">
        <v>12</v>
      </c>
      <c r="B30" s="1319" t="s">
        <v>19</v>
      </c>
      <c r="C30" s="1320" t="s">
        <v>936</v>
      </c>
      <c r="D30" s="1321">
        <v>0</v>
      </c>
      <c r="E30" s="1321">
        <v>68600</v>
      </c>
      <c r="F30" s="1321">
        <v>54821.73</v>
      </c>
      <c r="G30" s="1321">
        <v>68600</v>
      </c>
      <c r="H30" s="1322">
        <v>54821.73</v>
      </c>
      <c r="I30" s="1323">
        <f>D30+F30-H30</f>
        <v>0</v>
      </c>
      <c r="J30" s="598">
        <f t="shared" si="11"/>
        <v>0</v>
      </c>
      <c r="K30" s="598">
        <f t="shared" si="12"/>
        <v>0</v>
      </c>
    </row>
    <row r="31" spans="1:11" s="102" customFormat="1" ht="24.75" customHeight="1">
      <c r="A31" s="1329" t="s">
        <v>12</v>
      </c>
      <c r="B31" s="1330" t="s">
        <v>19</v>
      </c>
      <c r="C31" s="1331" t="s">
        <v>723</v>
      </c>
      <c r="D31" s="1332">
        <v>0</v>
      </c>
      <c r="E31" s="1332">
        <v>360000</v>
      </c>
      <c r="F31" s="1332">
        <v>301248.96</v>
      </c>
      <c r="G31" s="1332">
        <v>360000</v>
      </c>
      <c r="H31" s="1333">
        <v>301248.96</v>
      </c>
      <c r="I31" s="1323">
        <f>D31+F31-H31</f>
        <v>0</v>
      </c>
      <c r="J31" s="598">
        <f t="shared" si="11"/>
        <v>0</v>
      </c>
      <c r="K31" s="598">
        <f t="shared" si="12"/>
        <v>0</v>
      </c>
    </row>
    <row r="32" spans="1:11" s="97" customFormat="1" ht="24.75" customHeight="1">
      <c r="A32" s="1231" t="s">
        <v>35</v>
      </c>
      <c r="B32" s="1339" t="s">
        <v>39</v>
      </c>
      <c r="C32" s="1340" t="s">
        <v>812</v>
      </c>
      <c r="D32" s="1256">
        <v>0</v>
      </c>
      <c r="E32" s="1256">
        <v>546300</v>
      </c>
      <c r="F32" s="1256">
        <v>383456.49</v>
      </c>
      <c r="G32" s="1256">
        <v>546300</v>
      </c>
      <c r="H32" s="1341">
        <v>383456.49</v>
      </c>
      <c r="I32" s="1194">
        <f>D32+F32-H32</f>
        <v>0</v>
      </c>
      <c r="J32" s="583">
        <f t="shared" si="11"/>
        <v>0</v>
      </c>
      <c r="K32" s="583">
        <f t="shared" si="12"/>
        <v>0</v>
      </c>
    </row>
    <row r="33" spans="1:11" s="1317" customFormat="1" ht="24.75" customHeight="1">
      <c r="A33" s="1344" t="s">
        <v>35</v>
      </c>
      <c r="B33" s="1345" t="s">
        <v>40</v>
      </c>
      <c r="C33" s="1346" t="s">
        <v>813</v>
      </c>
      <c r="D33" s="1347">
        <v>0</v>
      </c>
      <c r="E33" s="1347">
        <v>10500</v>
      </c>
      <c r="F33" s="1347">
        <v>9760</v>
      </c>
      <c r="G33" s="1347">
        <v>10500</v>
      </c>
      <c r="H33" s="1348">
        <v>9760</v>
      </c>
      <c r="I33" s="1349">
        <f>D33+F33-H33</f>
        <v>0</v>
      </c>
      <c r="J33" s="1310">
        <f t="shared" si="11"/>
        <v>0</v>
      </c>
      <c r="K33" s="1310">
        <f t="shared" si="12"/>
        <v>0</v>
      </c>
    </row>
    <row r="34" spans="1:11" s="1317" customFormat="1" ht="24.75" customHeight="1" thickBot="1">
      <c r="A34" s="1350" t="s">
        <v>35</v>
      </c>
      <c r="B34" s="1351" t="s">
        <v>87</v>
      </c>
      <c r="C34" s="1352" t="s">
        <v>935</v>
      </c>
      <c r="D34" s="1353">
        <v>0</v>
      </c>
      <c r="E34" s="1353">
        <v>499022</v>
      </c>
      <c r="F34" s="1353">
        <v>491917.6</v>
      </c>
      <c r="G34" s="1353">
        <v>499022</v>
      </c>
      <c r="H34" s="1354">
        <v>491087.6</v>
      </c>
      <c r="I34" s="1355">
        <f>D34+F34-H34</f>
        <v>830</v>
      </c>
      <c r="J34" s="1310">
        <f>D34+F34-H34</f>
        <v>830</v>
      </c>
      <c r="K34" s="1310">
        <f>I34-J34</f>
        <v>0</v>
      </c>
    </row>
    <row r="35" spans="1:11" s="1358" customFormat="1" ht="24.75" customHeight="1" thickBot="1">
      <c r="A35" s="2149" t="s">
        <v>927</v>
      </c>
      <c r="B35" s="2150"/>
      <c r="C35" s="2150"/>
      <c r="D35" s="1356">
        <f aca="true" t="shared" si="13" ref="D35:I35">SUM(D8,D27)</f>
        <v>587.18</v>
      </c>
      <c r="E35" s="1356">
        <f t="shared" si="13"/>
        <v>4561092</v>
      </c>
      <c r="F35" s="1356">
        <f t="shared" si="13"/>
        <v>3799885.4200000004</v>
      </c>
      <c r="G35" s="1356">
        <f t="shared" si="13"/>
        <v>4561092</v>
      </c>
      <c r="H35" s="1356">
        <f t="shared" si="13"/>
        <v>3799642.6</v>
      </c>
      <c r="I35" s="1357">
        <f t="shared" si="13"/>
        <v>830</v>
      </c>
      <c r="J35" s="1310">
        <f t="shared" si="11"/>
        <v>830.0000000004657</v>
      </c>
      <c r="K35" s="1310">
        <f t="shared" si="12"/>
        <v>-4.656612873077393E-10</v>
      </c>
    </row>
  </sheetData>
  <sheetProtection password="CF53" sheet="1" formatRows="0" insertColumns="0" insertRows="0" insertHyperlinks="0" deleteColumns="0" deleteRows="0" sort="0" autoFilter="0" pivotTables="0"/>
  <mergeCells count="11">
    <mergeCell ref="A35:C35"/>
    <mergeCell ref="G5:H5"/>
    <mergeCell ref="A5:A6"/>
    <mergeCell ref="B5:B6"/>
    <mergeCell ref="D5:D6"/>
    <mergeCell ref="A27:C27"/>
    <mergeCell ref="A8:C8"/>
    <mergeCell ref="I5:I6"/>
    <mergeCell ref="C5:C6"/>
    <mergeCell ref="E5:F5"/>
    <mergeCell ref="A3:I3"/>
  </mergeCells>
  <printOptions/>
  <pageMargins left="1.1811023622047245" right="0.7874015748031497" top="0.5905511811023623" bottom="0.5905511811023623" header="0.5118110236220472" footer="0.5118110236220472"/>
  <pageSetup horizontalDpi="600" verticalDpi="600" orientation="landscape" paperSize="9" r:id="rId1"/>
  <rowBreaks count="1" manualBreakCount="1">
    <brk id="21" max="8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I24"/>
  <sheetViews>
    <sheetView view="pageBreakPreview" zoomScaleSheetLayoutView="100" zoomScalePageLayoutView="0" workbookViewId="0" topLeftCell="A1">
      <selection activeCell="K7" sqref="K7"/>
    </sheetView>
  </sheetViews>
  <sheetFormatPr defaultColWidth="9.00390625" defaultRowHeight="12.75"/>
  <cols>
    <col min="1" max="1" width="3.375" style="323" customWidth="1"/>
    <col min="2" max="2" width="7.875" style="323" customWidth="1"/>
    <col min="3" max="3" width="44.25390625" style="324" customWidth="1"/>
    <col min="4" max="4" width="13.25390625" style="325" hidden="1" customWidth="1"/>
    <col min="5" max="5" width="12.625" style="324" customWidth="1"/>
    <col min="6" max="6" width="12.125" style="351" customWidth="1"/>
    <col min="7" max="7" width="10.00390625" style="324" hidden="1" customWidth="1"/>
    <col min="8" max="8" width="6.25390625" style="324" customWidth="1"/>
    <col min="9" max="16384" width="9.125" style="324" customWidth="1"/>
  </cols>
  <sheetData>
    <row r="1" spans="6:8" ht="12.75">
      <c r="F1" s="1761"/>
      <c r="G1" s="1669" t="s">
        <v>309</v>
      </c>
      <c r="H1" s="1761" t="s">
        <v>1435</v>
      </c>
    </row>
    <row r="2" spans="6:7" ht="19.5" customHeight="1">
      <c r="F2" s="1963"/>
      <c r="G2" s="1963"/>
    </row>
    <row r="3" spans="1:6" ht="29.25" customHeight="1">
      <c r="A3" s="2156" t="s">
        <v>1007</v>
      </c>
      <c r="B3" s="2156"/>
      <c r="C3" s="2156"/>
      <c r="D3" s="2156"/>
      <c r="E3" s="2156"/>
      <c r="F3" s="2156"/>
    </row>
    <row r="4" spans="5:9" ht="29.25" customHeight="1" thickBot="1">
      <c r="E4" s="327"/>
      <c r="F4" s="328"/>
      <c r="G4" s="328" t="s">
        <v>208</v>
      </c>
      <c r="H4" s="328" t="s">
        <v>208</v>
      </c>
      <c r="I4" s="328"/>
    </row>
    <row r="5" spans="1:8" s="326" customFormat="1" ht="56.25" customHeight="1">
      <c r="A5" s="329" t="s">
        <v>1219</v>
      </c>
      <c r="B5" s="330" t="s">
        <v>209</v>
      </c>
      <c r="C5" s="330" t="s">
        <v>126</v>
      </c>
      <c r="D5" s="331" t="s">
        <v>417</v>
      </c>
      <c r="E5" s="331" t="s">
        <v>1757</v>
      </c>
      <c r="F5" s="332" t="s">
        <v>1399</v>
      </c>
      <c r="G5" s="333" t="s">
        <v>1419</v>
      </c>
      <c r="H5" s="334" t="s">
        <v>308</v>
      </c>
    </row>
    <row r="6" spans="1:8" s="340" customFormat="1" ht="14.25" customHeight="1">
      <c r="A6" s="335">
        <v>1</v>
      </c>
      <c r="B6" s="336">
        <v>2</v>
      </c>
      <c r="C6" s="336">
        <v>3</v>
      </c>
      <c r="D6" s="337">
        <v>4</v>
      </c>
      <c r="E6" s="337">
        <v>4</v>
      </c>
      <c r="F6" s="337">
        <v>5</v>
      </c>
      <c r="G6" s="338">
        <v>6</v>
      </c>
      <c r="H6" s="339">
        <v>6</v>
      </c>
    </row>
    <row r="7" spans="1:8" ht="33" customHeight="1">
      <c r="A7" s="341" t="s">
        <v>1222</v>
      </c>
      <c r="B7" s="342">
        <v>60015</v>
      </c>
      <c r="C7" s="1670" t="s">
        <v>1008</v>
      </c>
      <c r="D7" s="343" t="s">
        <v>219</v>
      </c>
      <c r="E7" s="344">
        <v>11642000</v>
      </c>
      <c r="F7" s="344">
        <v>11642000</v>
      </c>
      <c r="G7" s="345">
        <f>E7-F7</f>
        <v>0</v>
      </c>
      <c r="H7" s="346">
        <f aca="true" t="shared" si="0" ref="H7:H24">F7*100/E7</f>
        <v>100</v>
      </c>
    </row>
    <row r="8" spans="1:8" ht="39" customHeight="1">
      <c r="A8" s="341" t="s">
        <v>1223</v>
      </c>
      <c r="B8" s="342">
        <v>60015</v>
      </c>
      <c r="C8" s="1671" t="s">
        <v>148</v>
      </c>
      <c r="D8" s="343"/>
      <c r="E8" s="344">
        <v>198800</v>
      </c>
      <c r="F8" s="344">
        <v>198800</v>
      </c>
      <c r="G8" s="345"/>
      <c r="H8" s="346">
        <f t="shared" si="0"/>
        <v>100</v>
      </c>
    </row>
    <row r="9" spans="1:8" ht="40.5" customHeight="1">
      <c r="A9" s="341" t="s">
        <v>1548</v>
      </c>
      <c r="B9" s="342">
        <v>60015</v>
      </c>
      <c r="C9" s="1671" t="s">
        <v>1009</v>
      </c>
      <c r="D9" s="343"/>
      <c r="E9" s="344">
        <v>643165</v>
      </c>
      <c r="F9" s="344">
        <v>643165</v>
      </c>
      <c r="G9" s="345"/>
      <c r="H9" s="346">
        <f t="shared" si="0"/>
        <v>100</v>
      </c>
    </row>
    <row r="10" spans="1:8" ht="39" customHeight="1">
      <c r="A10" s="341" t="s">
        <v>1555</v>
      </c>
      <c r="B10" s="342">
        <v>60015</v>
      </c>
      <c r="C10" s="1671" t="s">
        <v>1009</v>
      </c>
      <c r="D10" s="343"/>
      <c r="E10" s="344">
        <v>433771</v>
      </c>
      <c r="F10" s="344">
        <v>433771</v>
      </c>
      <c r="G10" s="345"/>
      <c r="H10" s="346">
        <f t="shared" si="0"/>
        <v>100</v>
      </c>
    </row>
    <row r="11" spans="1:8" ht="38.25" customHeight="1">
      <c r="A11" s="341" t="s">
        <v>1556</v>
      </c>
      <c r="B11" s="342">
        <v>60015</v>
      </c>
      <c r="C11" s="1671" t="s">
        <v>1009</v>
      </c>
      <c r="D11" s="343"/>
      <c r="E11" s="344">
        <v>739302</v>
      </c>
      <c r="F11" s="344">
        <v>739302</v>
      </c>
      <c r="G11" s="345"/>
      <c r="H11" s="346">
        <f t="shared" si="0"/>
        <v>100</v>
      </c>
    </row>
    <row r="12" spans="1:8" ht="39" customHeight="1">
      <c r="A12" s="341" t="s">
        <v>1557</v>
      </c>
      <c r="B12" s="342">
        <v>60016</v>
      </c>
      <c r="C12" s="1671" t="s">
        <v>300</v>
      </c>
      <c r="D12" s="343"/>
      <c r="E12" s="344">
        <v>59500</v>
      </c>
      <c r="F12" s="344">
        <v>53448.39</v>
      </c>
      <c r="G12" s="345"/>
      <c r="H12" s="346">
        <f t="shared" si="0"/>
        <v>89.8292268907563</v>
      </c>
    </row>
    <row r="13" spans="1:8" ht="37.5" customHeight="1">
      <c r="A13" s="341" t="s">
        <v>329</v>
      </c>
      <c r="B13" s="342">
        <v>60016</v>
      </c>
      <c r="C13" s="1671" t="s">
        <v>300</v>
      </c>
      <c r="D13" s="343"/>
      <c r="E13" s="344">
        <v>10500</v>
      </c>
      <c r="F13" s="344">
        <v>9432.09</v>
      </c>
      <c r="G13" s="345"/>
      <c r="H13" s="346">
        <f t="shared" si="0"/>
        <v>89.82942857142856</v>
      </c>
    </row>
    <row r="14" spans="1:8" ht="46.5" customHeight="1">
      <c r="A14" s="341" t="s">
        <v>330</v>
      </c>
      <c r="B14" s="342">
        <v>80101</v>
      </c>
      <c r="C14" s="1671" t="s">
        <v>153</v>
      </c>
      <c r="D14" s="343"/>
      <c r="E14" s="344">
        <v>250000</v>
      </c>
      <c r="F14" s="344">
        <v>247676.27</v>
      </c>
      <c r="G14" s="345">
        <f>E14-F14</f>
        <v>2323.7300000000105</v>
      </c>
      <c r="H14" s="346">
        <f t="shared" si="0"/>
        <v>99.070508</v>
      </c>
    </row>
    <row r="15" spans="1:8" ht="51.75" customHeight="1">
      <c r="A15" s="341" t="s">
        <v>1558</v>
      </c>
      <c r="B15" s="342">
        <v>80101</v>
      </c>
      <c r="C15" s="1671" t="s">
        <v>153</v>
      </c>
      <c r="D15" s="343"/>
      <c r="E15" s="344">
        <v>250000</v>
      </c>
      <c r="F15" s="344">
        <v>247676.3</v>
      </c>
      <c r="G15" s="345"/>
      <c r="H15" s="346">
        <f t="shared" si="0"/>
        <v>99.07052</v>
      </c>
    </row>
    <row r="16" spans="1:8" ht="36.75" customHeight="1">
      <c r="A16" s="341" t="s">
        <v>1560</v>
      </c>
      <c r="B16" s="342">
        <v>80101</v>
      </c>
      <c r="C16" s="1671" t="s">
        <v>176</v>
      </c>
      <c r="D16" s="343"/>
      <c r="E16" s="344">
        <v>60000</v>
      </c>
      <c r="F16" s="344">
        <v>30528.09</v>
      </c>
      <c r="G16" s="345">
        <f>E16-F16</f>
        <v>29471.91</v>
      </c>
      <c r="H16" s="346">
        <f aca="true" t="shared" si="1" ref="H16:H22">F16*100/E16</f>
        <v>50.88015</v>
      </c>
    </row>
    <row r="17" spans="1:8" ht="39" customHeight="1">
      <c r="A17" s="341" t="s">
        <v>331</v>
      </c>
      <c r="B17" s="342">
        <v>85154</v>
      </c>
      <c r="C17" s="1671" t="s">
        <v>1010</v>
      </c>
      <c r="D17" s="343"/>
      <c r="E17" s="344">
        <v>150000</v>
      </c>
      <c r="F17" s="344">
        <v>150000</v>
      </c>
      <c r="G17" s="345"/>
      <c r="H17" s="346">
        <f t="shared" si="1"/>
        <v>100</v>
      </c>
    </row>
    <row r="18" spans="1:8" ht="36.75" customHeight="1">
      <c r="A18" s="341" t="s">
        <v>1561</v>
      </c>
      <c r="B18" s="342">
        <v>85154</v>
      </c>
      <c r="C18" s="1671" t="s">
        <v>1010</v>
      </c>
      <c r="D18" s="343"/>
      <c r="E18" s="344">
        <v>150000</v>
      </c>
      <c r="F18" s="344">
        <v>150000</v>
      </c>
      <c r="G18" s="345">
        <f>E18-F18</f>
        <v>0</v>
      </c>
      <c r="H18" s="346">
        <f t="shared" si="1"/>
        <v>100</v>
      </c>
    </row>
    <row r="19" spans="1:8" ht="33" customHeight="1">
      <c r="A19" s="341" t="s">
        <v>1562</v>
      </c>
      <c r="B19" s="342">
        <v>90004</v>
      </c>
      <c r="C19" s="1671" t="s">
        <v>1011</v>
      </c>
      <c r="D19" s="343"/>
      <c r="E19" s="344">
        <v>220080</v>
      </c>
      <c r="F19" s="344">
        <v>220080</v>
      </c>
      <c r="G19" s="345"/>
      <c r="H19" s="346">
        <f t="shared" si="1"/>
        <v>100</v>
      </c>
    </row>
    <row r="20" spans="1:8" ht="39.75" customHeight="1">
      <c r="A20" s="341" t="s">
        <v>332</v>
      </c>
      <c r="B20" s="342">
        <v>90004</v>
      </c>
      <c r="C20" s="1671" t="s">
        <v>1011</v>
      </c>
      <c r="D20" s="343"/>
      <c r="E20" s="344">
        <v>172920</v>
      </c>
      <c r="F20" s="344">
        <v>172920</v>
      </c>
      <c r="G20" s="345"/>
      <c r="H20" s="346">
        <f t="shared" si="1"/>
        <v>100</v>
      </c>
    </row>
    <row r="21" spans="1:8" ht="51.75" customHeight="1">
      <c r="A21" s="341" t="s">
        <v>1563</v>
      </c>
      <c r="B21" s="342">
        <v>90095</v>
      </c>
      <c r="C21" s="1671" t="s">
        <v>180</v>
      </c>
      <c r="D21" s="343"/>
      <c r="E21" s="344">
        <v>315000</v>
      </c>
      <c r="F21" s="344">
        <v>315000</v>
      </c>
      <c r="G21" s="345">
        <f>E21-F21</f>
        <v>0</v>
      </c>
      <c r="H21" s="346">
        <f t="shared" si="1"/>
        <v>100</v>
      </c>
    </row>
    <row r="22" spans="1:8" ht="39" customHeight="1">
      <c r="A22" s="341" t="s">
        <v>1564</v>
      </c>
      <c r="B22" s="342">
        <v>90095</v>
      </c>
      <c r="C22" s="1671" t="s">
        <v>180</v>
      </c>
      <c r="D22" s="343"/>
      <c r="E22" s="344">
        <v>1185000</v>
      </c>
      <c r="F22" s="344">
        <v>1185000</v>
      </c>
      <c r="G22" s="345"/>
      <c r="H22" s="346">
        <f t="shared" si="1"/>
        <v>100</v>
      </c>
    </row>
    <row r="23" spans="1:8" ht="39" customHeight="1">
      <c r="A23" s="341" t="s">
        <v>1565</v>
      </c>
      <c r="B23" s="342">
        <v>90095</v>
      </c>
      <c r="C23" s="1671" t="s">
        <v>1012</v>
      </c>
      <c r="D23" s="343"/>
      <c r="E23" s="344">
        <v>25830</v>
      </c>
      <c r="F23" s="344">
        <v>5166</v>
      </c>
      <c r="G23" s="345">
        <f>E23-F23</f>
        <v>20664</v>
      </c>
      <c r="H23" s="346">
        <f t="shared" si="0"/>
        <v>20</v>
      </c>
    </row>
    <row r="24" spans="1:8" s="350" customFormat="1" ht="24" customHeight="1" thickBot="1">
      <c r="A24" s="2153" t="s">
        <v>220</v>
      </c>
      <c r="B24" s="2154"/>
      <c r="C24" s="2154"/>
      <c r="D24" s="2155"/>
      <c r="E24" s="347">
        <f>SUM(E7:E23)</f>
        <v>16505868</v>
      </c>
      <c r="F24" s="347">
        <f>SUM(F7:F23)</f>
        <v>16443965.14</v>
      </c>
      <c r="G24" s="348"/>
      <c r="H24" s="349">
        <f t="shared" si="0"/>
        <v>99.62496452776674</v>
      </c>
    </row>
  </sheetData>
  <sheetProtection password="CF53" sheet="1" formatRows="0" insertColumns="0" insertRows="0" insertHyperlinks="0" deleteColumns="0" deleteRows="0" sort="0" autoFilter="0" pivotTables="0"/>
  <mergeCells count="3">
    <mergeCell ref="A24:D24"/>
    <mergeCell ref="A3:F3"/>
    <mergeCell ref="F2:G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G59"/>
  <sheetViews>
    <sheetView view="pageBreakPreview" zoomScaleSheetLayoutView="100" zoomScalePageLayoutView="0" workbookViewId="0" topLeftCell="A1">
      <selection activeCell="E57" sqref="E57"/>
    </sheetView>
  </sheetViews>
  <sheetFormatPr defaultColWidth="9.00390625" defaultRowHeight="12.75"/>
  <cols>
    <col min="1" max="1" width="3.625" style="97" customWidth="1"/>
    <col min="2" max="2" width="4.375" style="97" customWidth="1"/>
    <col min="3" max="3" width="48.75390625" style="97" customWidth="1"/>
    <col min="4" max="5" width="12.00390625" style="97" customWidth="1"/>
    <col min="6" max="6" width="6.25390625" style="97" customWidth="1"/>
    <col min="7" max="16384" width="9.125" style="97" customWidth="1"/>
  </cols>
  <sheetData>
    <row r="1" spans="5:6" ht="12" customHeight="1">
      <c r="E1" s="1963" t="s">
        <v>184</v>
      </c>
      <c r="F1" s="1963"/>
    </row>
    <row r="3" spans="1:6" ht="12.75">
      <c r="A3" s="1967" t="s">
        <v>1747</v>
      </c>
      <c r="B3" s="1967"/>
      <c r="C3" s="1967"/>
      <c r="D3" s="1967"/>
      <c r="E3" s="1967"/>
      <c r="F3" s="1967"/>
    </row>
    <row r="4" spans="1:6" ht="12.75">
      <c r="A4" s="96"/>
      <c r="B4" s="96"/>
      <c r="C4" s="96"/>
      <c r="D4" s="96"/>
      <c r="E4" s="96"/>
      <c r="F4" s="96"/>
    </row>
    <row r="5" spans="1:6" s="98" customFormat="1" ht="12.75" customHeight="1" thickBot="1">
      <c r="A5" s="2162" t="s">
        <v>1748</v>
      </c>
      <c r="B5" s="2162"/>
      <c r="C5" s="2162"/>
      <c r="F5" s="99" t="s">
        <v>208</v>
      </c>
    </row>
    <row r="6" spans="1:6" s="96" customFormat="1" ht="12.75">
      <c r="A6" s="1008" t="s">
        <v>1219</v>
      </c>
      <c r="B6" s="1009" t="s">
        <v>130</v>
      </c>
      <c r="C6" s="1009" t="s">
        <v>210</v>
      </c>
      <c r="D6" s="1010" t="s">
        <v>211</v>
      </c>
      <c r="E6" s="1010" t="s">
        <v>212</v>
      </c>
      <c r="F6" s="1137" t="s">
        <v>815</v>
      </c>
    </row>
    <row r="7" spans="1:6" s="1142" customFormat="1" ht="12.75" customHeight="1" thickBot="1">
      <c r="A7" s="1138">
        <v>1</v>
      </c>
      <c r="B7" s="1139">
        <v>2</v>
      </c>
      <c r="C7" s="1139">
        <v>3</v>
      </c>
      <c r="D7" s="1140">
        <v>4</v>
      </c>
      <c r="E7" s="1140">
        <v>5</v>
      </c>
      <c r="F7" s="1141">
        <v>6</v>
      </c>
    </row>
    <row r="8" spans="1:6" s="98" customFormat="1" ht="27.75" customHeight="1">
      <c r="A8" s="819" t="s">
        <v>816</v>
      </c>
      <c r="B8" s="820"/>
      <c r="C8" s="1146" t="s">
        <v>707</v>
      </c>
      <c r="D8" s="821">
        <v>677987</v>
      </c>
      <c r="E8" s="821">
        <v>677986.66</v>
      </c>
      <c r="F8" s="1162" t="s">
        <v>1227</v>
      </c>
    </row>
    <row r="9" spans="1:6" s="98" customFormat="1" ht="18.75" customHeight="1">
      <c r="A9" s="1056" t="s">
        <v>817</v>
      </c>
      <c r="B9" s="1143"/>
      <c r="C9" s="1143" t="s">
        <v>1211</v>
      </c>
      <c r="D9" s="104">
        <f>SUM(D10,D11,D12,D13,D14,D15)</f>
        <v>10424700</v>
      </c>
      <c r="E9" s="104">
        <f>SUM(E10,E11,E12,E13,E14,E15)</f>
        <v>10554694.93</v>
      </c>
      <c r="F9" s="1144">
        <f aca="true" t="shared" si="0" ref="F9:F20">E9/D9*100</f>
        <v>101.24698964958223</v>
      </c>
    </row>
    <row r="10" spans="1:6" ht="18.75" customHeight="1">
      <c r="A10" s="824" t="s">
        <v>1222</v>
      </c>
      <c r="B10" s="217" t="s">
        <v>985</v>
      </c>
      <c r="C10" s="229" t="s">
        <v>818</v>
      </c>
      <c r="D10" s="106">
        <v>8758700</v>
      </c>
      <c r="E10" s="106">
        <v>8538958.14</v>
      </c>
      <c r="F10" s="1145">
        <f t="shared" si="0"/>
        <v>97.49115896194641</v>
      </c>
    </row>
    <row r="11" spans="1:6" ht="18.75" customHeight="1">
      <c r="A11" s="824" t="s">
        <v>1223</v>
      </c>
      <c r="B11" s="217" t="s">
        <v>986</v>
      </c>
      <c r="C11" s="229" t="s">
        <v>1161</v>
      </c>
      <c r="D11" s="106">
        <v>292000</v>
      </c>
      <c r="E11" s="106">
        <v>322465.78</v>
      </c>
      <c r="F11" s="1145">
        <f t="shared" si="0"/>
        <v>110.43348630136987</v>
      </c>
    </row>
    <row r="12" spans="1:6" ht="18.75" customHeight="1">
      <c r="A12" s="824" t="s">
        <v>1548</v>
      </c>
      <c r="B12" s="217" t="s">
        <v>987</v>
      </c>
      <c r="C12" s="229" t="s">
        <v>1160</v>
      </c>
      <c r="D12" s="106">
        <v>254000</v>
      </c>
      <c r="E12" s="106">
        <v>363519.42</v>
      </c>
      <c r="F12" s="1145">
        <f t="shared" si="0"/>
        <v>143.11788188976377</v>
      </c>
    </row>
    <row r="13" spans="1:6" ht="26.25" customHeight="1">
      <c r="A13" s="824" t="s">
        <v>1555</v>
      </c>
      <c r="B13" s="217" t="s">
        <v>819</v>
      </c>
      <c r="C13" s="254" t="s">
        <v>199</v>
      </c>
      <c r="D13" s="106">
        <v>320000</v>
      </c>
      <c r="E13" s="106">
        <v>320000</v>
      </c>
      <c r="F13" s="1145">
        <f t="shared" si="0"/>
        <v>100</v>
      </c>
    </row>
    <row r="14" spans="1:6" ht="16.5" customHeight="1">
      <c r="A14" s="824" t="s">
        <v>1556</v>
      </c>
      <c r="B14" s="217"/>
      <c r="C14" s="254" t="s">
        <v>820</v>
      </c>
      <c r="D14" s="106">
        <v>800000</v>
      </c>
      <c r="E14" s="106">
        <v>860264.59</v>
      </c>
      <c r="F14" s="1145">
        <f t="shared" si="0"/>
        <v>107.53307374999999</v>
      </c>
    </row>
    <row r="15" spans="1:6" ht="18.75" customHeight="1" thickBot="1">
      <c r="A15" s="824" t="s">
        <v>1557</v>
      </c>
      <c r="B15" s="217"/>
      <c r="C15" s="229" t="s">
        <v>939</v>
      </c>
      <c r="D15" s="106">
        <v>0</v>
      </c>
      <c r="E15" s="106">
        <v>149487</v>
      </c>
      <c r="F15" s="1677" t="s">
        <v>1195</v>
      </c>
    </row>
    <row r="16" spans="1:6" s="98" customFormat="1" ht="18" customHeight="1" thickBot="1">
      <c r="A16" s="2160" t="s">
        <v>821</v>
      </c>
      <c r="B16" s="2161"/>
      <c r="C16" s="2161"/>
      <c r="D16" s="1148">
        <f>D9+D8</f>
        <v>11102687</v>
      </c>
      <c r="E16" s="1148">
        <f>E9+E8</f>
        <v>11232681.59</v>
      </c>
      <c r="F16" s="1149">
        <f t="shared" si="0"/>
        <v>101.17083900500843</v>
      </c>
    </row>
    <row r="17" spans="1:6" s="98" customFormat="1" ht="18" customHeight="1">
      <c r="A17" s="1056" t="s">
        <v>823</v>
      </c>
      <c r="B17" s="1143"/>
      <c r="C17" s="1143" t="s">
        <v>824</v>
      </c>
      <c r="D17" s="104">
        <f>SUM(D18,D19,D20,D21,D22,D23,D24,D25,D26,D27,D28,D29,D30,D31,D32,D33,D34,D35,D36,D37,D38,D39,D40,D41,D42,D43,D44,D45,D46,D47)+D48+D49+D50+D51+D52+D53+D54</f>
        <v>10422187</v>
      </c>
      <c r="E17" s="104">
        <f>SUM(E18,E19,E20,E21,E22,E23,E24,E25,E26,E27,E28,E29,E30,E31,E32,E33,E34,E35,E36,E37,E38,E39,E40,E41,E42,E43,E44,E45,E46,E47)+E48+E49+E50+E51+E52+E53+E54</f>
        <v>10435502.78</v>
      </c>
      <c r="F17" s="1144">
        <f t="shared" si="0"/>
        <v>100.12776377932961</v>
      </c>
    </row>
    <row r="18" spans="1:6" ht="18.75" customHeight="1">
      <c r="A18" s="1163" t="s">
        <v>1222</v>
      </c>
      <c r="B18" s="1150">
        <v>3020</v>
      </c>
      <c r="C18" s="254" t="s">
        <v>825</v>
      </c>
      <c r="D18" s="829">
        <v>31500</v>
      </c>
      <c r="E18" s="106">
        <v>25968.67</v>
      </c>
      <c r="F18" s="1164">
        <f t="shared" si="0"/>
        <v>82.44022222222222</v>
      </c>
    </row>
    <row r="19" spans="1:7" ht="18.75" customHeight="1">
      <c r="A19" s="1163" t="s">
        <v>1223</v>
      </c>
      <c r="B19" s="1150">
        <v>4010</v>
      </c>
      <c r="C19" s="254" t="s">
        <v>826</v>
      </c>
      <c r="D19" s="106">
        <v>1469000</v>
      </c>
      <c r="E19" s="106">
        <v>1450809.88</v>
      </c>
      <c r="F19" s="1145">
        <f t="shared" si="0"/>
        <v>98.76173451327432</v>
      </c>
      <c r="G19" s="583"/>
    </row>
    <row r="20" spans="1:6" ht="18.75" customHeight="1">
      <c r="A20" s="1163" t="s">
        <v>1548</v>
      </c>
      <c r="B20" s="1150">
        <v>4040</v>
      </c>
      <c r="C20" s="254" t="s">
        <v>827</v>
      </c>
      <c r="D20" s="106">
        <v>124000</v>
      </c>
      <c r="E20" s="106">
        <v>116021.41</v>
      </c>
      <c r="F20" s="1145">
        <f t="shared" si="0"/>
        <v>93.56565322580646</v>
      </c>
    </row>
    <row r="21" spans="1:6" ht="18.75" customHeight="1">
      <c r="A21" s="1163" t="s">
        <v>1555</v>
      </c>
      <c r="B21" s="1150">
        <v>4110</v>
      </c>
      <c r="C21" s="254" t="s">
        <v>1608</v>
      </c>
      <c r="D21" s="106">
        <v>283500</v>
      </c>
      <c r="E21" s="106">
        <v>280378.85</v>
      </c>
      <c r="F21" s="1145">
        <f aca="true" t="shared" si="1" ref="F21:F53">E21/D21*100</f>
        <v>98.89906525573191</v>
      </c>
    </row>
    <row r="22" spans="1:6" ht="18.75" customHeight="1">
      <c r="A22" s="1163" t="s">
        <v>1556</v>
      </c>
      <c r="B22" s="1150">
        <v>4120</v>
      </c>
      <c r="C22" s="254" t="s">
        <v>1609</v>
      </c>
      <c r="D22" s="106">
        <v>26000</v>
      </c>
      <c r="E22" s="106">
        <v>25201.82</v>
      </c>
      <c r="F22" s="1145">
        <f t="shared" si="1"/>
        <v>96.93007692307692</v>
      </c>
    </row>
    <row r="23" spans="1:6" ht="30" customHeight="1">
      <c r="A23" s="1163" t="s">
        <v>1557</v>
      </c>
      <c r="B23" s="1150">
        <v>4140</v>
      </c>
      <c r="C23" s="254" t="s">
        <v>1409</v>
      </c>
      <c r="D23" s="106">
        <v>7500</v>
      </c>
      <c r="E23" s="106">
        <v>5575</v>
      </c>
      <c r="F23" s="1145">
        <f t="shared" si="1"/>
        <v>74.33333333333333</v>
      </c>
    </row>
    <row r="24" spans="1:6" ht="18.75" customHeight="1">
      <c r="A24" s="1163" t="s">
        <v>329</v>
      </c>
      <c r="B24" s="1150">
        <v>4170</v>
      </c>
      <c r="C24" s="254" t="s">
        <v>1610</v>
      </c>
      <c r="D24" s="106">
        <v>60000</v>
      </c>
      <c r="E24" s="106">
        <v>55292.22</v>
      </c>
      <c r="F24" s="1145">
        <f t="shared" si="1"/>
        <v>92.1537</v>
      </c>
    </row>
    <row r="25" spans="1:6" ht="18.75" customHeight="1">
      <c r="A25" s="1163" t="s">
        <v>330</v>
      </c>
      <c r="B25" s="1150">
        <v>4210</v>
      </c>
      <c r="C25" s="254" t="s">
        <v>1611</v>
      </c>
      <c r="D25" s="106">
        <v>170000</v>
      </c>
      <c r="E25" s="106">
        <v>157251.59</v>
      </c>
      <c r="F25" s="1145">
        <f t="shared" si="1"/>
        <v>92.50093529411765</v>
      </c>
    </row>
    <row r="26" spans="1:6" ht="18.75" customHeight="1">
      <c r="A26" s="1163" t="s">
        <v>1558</v>
      </c>
      <c r="B26" s="1150">
        <v>4260</v>
      </c>
      <c r="C26" s="254" t="s">
        <v>1612</v>
      </c>
      <c r="D26" s="106">
        <v>1650000</v>
      </c>
      <c r="E26" s="106">
        <v>1602850.29</v>
      </c>
      <c r="F26" s="1145">
        <f t="shared" si="1"/>
        <v>97.14244181818182</v>
      </c>
    </row>
    <row r="27" spans="1:6" ht="18.75" customHeight="1">
      <c r="A27" s="1163" t="s">
        <v>1560</v>
      </c>
      <c r="B27" s="1150">
        <v>4270</v>
      </c>
      <c r="C27" s="254" t="s">
        <v>1613</v>
      </c>
      <c r="D27" s="106">
        <v>1754600</v>
      </c>
      <c r="E27" s="106">
        <v>1646312.53</v>
      </c>
      <c r="F27" s="1145">
        <f t="shared" si="1"/>
        <v>93.8283671492078</v>
      </c>
    </row>
    <row r="28" spans="1:6" ht="18.75" customHeight="1">
      <c r="A28" s="1163" t="s">
        <v>331</v>
      </c>
      <c r="B28" s="1150">
        <v>4280</v>
      </c>
      <c r="C28" s="254" t="s">
        <v>1407</v>
      </c>
      <c r="D28" s="106">
        <v>4000</v>
      </c>
      <c r="E28" s="106">
        <v>1931</v>
      </c>
      <c r="F28" s="1145">
        <f t="shared" si="1"/>
        <v>48.275</v>
      </c>
    </row>
    <row r="29" spans="1:6" ht="18.75" customHeight="1">
      <c r="A29" s="1163" t="s">
        <v>1561</v>
      </c>
      <c r="B29" s="1150">
        <v>4300</v>
      </c>
      <c r="C29" s="254" t="s">
        <v>1621</v>
      </c>
      <c r="D29" s="106">
        <v>2365000</v>
      </c>
      <c r="E29" s="106">
        <v>2271211.93</v>
      </c>
      <c r="F29" s="1145">
        <f t="shared" si="1"/>
        <v>96.03433107822411</v>
      </c>
    </row>
    <row r="30" spans="1:6" ht="18.75" customHeight="1">
      <c r="A30" s="1163" t="s">
        <v>1562</v>
      </c>
      <c r="B30" s="1150">
        <v>4350</v>
      </c>
      <c r="C30" s="1165" t="s">
        <v>1622</v>
      </c>
      <c r="D30" s="106">
        <v>1200</v>
      </c>
      <c r="E30" s="106">
        <v>1112.24</v>
      </c>
      <c r="F30" s="1145">
        <f t="shared" si="1"/>
        <v>92.68666666666667</v>
      </c>
    </row>
    <row r="31" spans="1:6" ht="28.5" customHeight="1">
      <c r="A31" s="1163" t="s">
        <v>332</v>
      </c>
      <c r="B31" s="1150">
        <v>4360</v>
      </c>
      <c r="C31" s="1165" t="s">
        <v>1623</v>
      </c>
      <c r="D31" s="106">
        <v>6000</v>
      </c>
      <c r="E31" s="106">
        <v>4450.31</v>
      </c>
      <c r="F31" s="1145">
        <f t="shared" si="1"/>
        <v>74.17183333333334</v>
      </c>
    </row>
    <row r="32" spans="1:6" ht="28.5" customHeight="1">
      <c r="A32" s="1163" t="s">
        <v>1563</v>
      </c>
      <c r="B32" s="1150">
        <v>4370</v>
      </c>
      <c r="C32" s="1165" t="s">
        <v>1624</v>
      </c>
      <c r="D32" s="106">
        <v>8000</v>
      </c>
      <c r="E32" s="106">
        <v>5213.42</v>
      </c>
      <c r="F32" s="1145">
        <f t="shared" si="1"/>
        <v>65.16775</v>
      </c>
    </row>
    <row r="33" spans="1:6" ht="19.5" customHeight="1">
      <c r="A33" s="1163" t="s">
        <v>1564</v>
      </c>
      <c r="B33" s="1150">
        <v>4390</v>
      </c>
      <c r="C33" s="1165" t="s">
        <v>1410</v>
      </c>
      <c r="D33" s="106">
        <v>150500</v>
      </c>
      <c r="E33" s="106">
        <v>143363.41</v>
      </c>
      <c r="F33" s="1145">
        <f t="shared" si="1"/>
        <v>95.25807973421927</v>
      </c>
    </row>
    <row r="34" spans="1:6" ht="30" customHeight="1">
      <c r="A34" s="1163" t="s">
        <v>1565</v>
      </c>
      <c r="B34" s="1150">
        <v>4400</v>
      </c>
      <c r="C34" s="1165" t="s">
        <v>1625</v>
      </c>
      <c r="D34" s="106">
        <v>5200</v>
      </c>
      <c r="E34" s="106">
        <v>4918.57</v>
      </c>
      <c r="F34" s="1145">
        <f t="shared" si="1"/>
        <v>94.58788461538461</v>
      </c>
    </row>
    <row r="35" spans="1:6" ht="18.75" customHeight="1">
      <c r="A35" s="1163" t="s">
        <v>1566</v>
      </c>
      <c r="B35" s="1150">
        <v>4410</v>
      </c>
      <c r="C35" s="254" t="s">
        <v>1626</v>
      </c>
      <c r="D35" s="106">
        <v>8000</v>
      </c>
      <c r="E35" s="106">
        <v>4982.02</v>
      </c>
      <c r="F35" s="1145">
        <f t="shared" si="1"/>
        <v>62.27525000000001</v>
      </c>
    </row>
    <row r="36" spans="1:6" ht="18.75" customHeight="1">
      <c r="A36" s="1163" t="s">
        <v>1572</v>
      </c>
      <c r="B36" s="1150">
        <v>4430</v>
      </c>
      <c r="C36" s="254" t="s">
        <v>1627</v>
      </c>
      <c r="D36" s="106">
        <v>24000</v>
      </c>
      <c r="E36" s="106">
        <v>20304</v>
      </c>
      <c r="F36" s="1145">
        <f t="shared" si="1"/>
        <v>84.6</v>
      </c>
    </row>
    <row r="37" spans="1:6" ht="18.75" customHeight="1">
      <c r="A37" s="1163" t="s">
        <v>1573</v>
      </c>
      <c r="B37" s="1150">
        <v>4440</v>
      </c>
      <c r="C37" s="254" t="s">
        <v>1628</v>
      </c>
      <c r="D37" s="106">
        <v>48000</v>
      </c>
      <c r="E37" s="106">
        <v>46225.76</v>
      </c>
      <c r="F37" s="1145">
        <f t="shared" si="1"/>
        <v>96.30366666666667</v>
      </c>
    </row>
    <row r="38" spans="1:6" ht="18.75" customHeight="1">
      <c r="A38" s="1163" t="s">
        <v>1574</v>
      </c>
      <c r="B38" s="1150">
        <v>4480</v>
      </c>
      <c r="C38" s="254" t="s">
        <v>1171</v>
      </c>
      <c r="D38" s="106">
        <v>490000</v>
      </c>
      <c r="E38" s="106">
        <v>489301</v>
      </c>
      <c r="F38" s="1145">
        <f t="shared" si="1"/>
        <v>99.85734693877552</v>
      </c>
    </row>
    <row r="39" spans="1:6" ht="28.5" customHeight="1" hidden="1">
      <c r="A39" s="1163" t="s">
        <v>1574</v>
      </c>
      <c r="B39" s="1150">
        <v>4500</v>
      </c>
      <c r="C39" s="254" t="s">
        <v>440</v>
      </c>
      <c r="D39" s="106">
        <v>0</v>
      </c>
      <c r="E39" s="106">
        <v>0</v>
      </c>
      <c r="F39" s="1145" t="e">
        <f t="shared" si="1"/>
        <v>#DIV/0!</v>
      </c>
    </row>
    <row r="40" spans="1:6" ht="23.25" customHeight="1">
      <c r="A40" s="1163" t="s">
        <v>1575</v>
      </c>
      <c r="B40" s="1150">
        <v>4510</v>
      </c>
      <c r="C40" s="254" t="s">
        <v>32</v>
      </c>
      <c r="D40" s="106">
        <v>30000</v>
      </c>
      <c r="E40" s="106">
        <v>25369</v>
      </c>
      <c r="F40" s="1145">
        <f t="shared" si="1"/>
        <v>84.56333333333333</v>
      </c>
    </row>
    <row r="41" spans="1:6" ht="23.25" customHeight="1">
      <c r="A41" s="1163" t="s">
        <v>1183</v>
      </c>
      <c r="B41" s="1150">
        <v>4520</v>
      </c>
      <c r="C41" s="254" t="s">
        <v>1412</v>
      </c>
      <c r="D41" s="106">
        <v>315900</v>
      </c>
      <c r="E41" s="106">
        <v>312172.04</v>
      </c>
      <c r="F41" s="1145">
        <f t="shared" si="1"/>
        <v>98.81989237100348</v>
      </c>
    </row>
    <row r="42" spans="1:6" ht="23.25" customHeight="1" hidden="1">
      <c r="A42" s="1163" t="s">
        <v>1183</v>
      </c>
      <c r="B42" s="1150">
        <v>4530</v>
      </c>
      <c r="C42" s="254" t="s">
        <v>1744</v>
      </c>
      <c r="D42" s="106">
        <v>0</v>
      </c>
      <c r="E42" s="106">
        <v>0</v>
      </c>
      <c r="F42" s="1145" t="e">
        <f t="shared" si="1"/>
        <v>#DIV/0!</v>
      </c>
    </row>
    <row r="43" spans="1:6" ht="27.75" customHeight="1">
      <c r="A43" s="1163" t="s">
        <v>1184</v>
      </c>
      <c r="B43" s="1150">
        <v>4570</v>
      </c>
      <c r="C43" s="254" t="s">
        <v>1629</v>
      </c>
      <c r="D43" s="106">
        <v>1000</v>
      </c>
      <c r="E43" s="106">
        <v>0</v>
      </c>
      <c r="F43" s="1145">
        <f t="shared" si="1"/>
        <v>0</v>
      </c>
    </row>
    <row r="44" spans="1:6" ht="18" customHeight="1">
      <c r="A44" s="1163" t="s">
        <v>1185</v>
      </c>
      <c r="B44" s="1150">
        <v>4580</v>
      </c>
      <c r="C44" s="254" t="s">
        <v>1161</v>
      </c>
      <c r="D44" s="106">
        <v>2000</v>
      </c>
      <c r="E44" s="106">
        <v>464.8</v>
      </c>
      <c r="F44" s="1145">
        <f t="shared" si="1"/>
        <v>23.24</v>
      </c>
    </row>
    <row r="45" spans="1:6" ht="18" customHeight="1" hidden="1">
      <c r="A45" s="1163" t="s">
        <v>1185</v>
      </c>
      <c r="B45" s="1150">
        <v>4590</v>
      </c>
      <c r="C45" s="254" t="s">
        <v>1630</v>
      </c>
      <c r="D45" s="106">
        <v>0</v>
      </c>
      <c r="E45" s="106">
        <v>0</v>
      </c>
      <c r="F45" s="1145" t="e">
        <f t="shared" si="1"/>
        <v>#DIV/0!</v>
      </c>
    </row>
    <row r="46" spans="1:6" ht="30" customHeight="1">
      <c r="A46" s="1163" t="s">
        <v>1186</v>
      </c>
      <c r="B46" s="1150">
        <v>4600</v>
      </c>
      <c r="C46" s="254" t="s">
        <v>154</v>
      </c>
      <c r="D46" s="106">
        <v>1000</v>
      </c>
      <c r="E46" s="106">
        <v>510</v>
      </c>
      <c r="F46" s="1145">
        <f t="shared" si="1"/>
        <v>51</v>
      </c>
    </row>
    <row r="47" spans="1:6" ht="19.5" customHeight="1">
      <c r="A47" s="1163" t="s">
        <v>1268</v>
      </c>
      <c r="B47" s="1150">
        <v>4610</v>
      </c>
      <c r="C47" s="254" t="s">
        <v>908</v>
      </c>
      <c r="D47" s="106">
        <v>66000</v>
      </c>
      <c r="E47" s="106">
        <v>59963.74</v>
      </c>
      <c r="F47" s="1145">
        <f t="shared" si="1"/>
        <v>90.85415151515151</v>
      </c>
    </row>
    <row r="48" spans="1:6" ht="26.25" customHeight="1">
      <c r="A48" s="1163" t="s">
        <v>1269</v>
      </c>
      <c r="B48" s="1150">
        <v>4700</v>
      </c>
      <c r="C48" s="254" t="s">
        <v>1631</v>
      </c>
      <c r="D48" s="106">
        <v>17000</v>
      </c>
      <c r="E48" s="106">
        <v>12062.37</v>
      </c>
      <c r="F48" s="1145">
        <f t="shared" si="1"/>
        <v>70.95511764705883</v>
      </c>
    </row>
    <row r="49" spans="1:6" ht="28.5" customHeight="1" hidden="1">
      <c r="A49" s="1163" t="s">
        <v>1270</v>
      </c>
      <c r="B49" s="1150">
        <v>4740</v>
      </c>
      <c r="C49" s="254" t="s">
        <v>1632</v>
      </c>
      <c r="D49" s="106">
        <v>0</v>
      </c>
      <c r="E49" s="106">
        <v>0</v>
      </c>
      <c r="F49" s="1145" t="e">
        <f t="shared" si="1"/>
        <v>#DIV/0!</v>
      </c>
    </row>
    <row r="50" spans="1:6" ht="19.5" customHeight="1" hidden="1">
      <c r="A50" s="1163" t="s">
        <v>418</v>
      </c>
      <c r="B50" s="1150">
        <v>4750</v>
      </c>
      <c r="C50" s="254" t="s">
        <v>1634</v>
      </c>
      <c r="D50" s="106">
        <v>0</v>
      </c>
      <c r="E50" s="106">
        <v>0</v>
      </c>
      <c r="F50" s="1145" t="e">
        <f t="shared" si="1"/>
        <v>#DIV/0!</v>
      </c>
    </row>
    <row r="51" spans="1:6" ht="19.5" customHeight="1">
      <c r="A51" s="1163" t="s">
        <v>1270</v>
      </c>
      <c r="B51" s="1150">
        <v>6070</v>
      </c>
      <c r="C51" s="254" t="s">
        <v>1635</v>
      </c>
      <c r="D51" s="106">
        <v>271187</v>
      </c>
      <c r="E51" s="106">
        <v>223945.37</v>
      </c>
      <c r="F51" s="1145">
        <f t="shared" si="1"/>
        <v>82.57968486689997</v>
      </c>
    </row>
    <row r="52" spans="1:6" ht="19.5" customHeight="1">
      <c r="A52" s="1163" t="s">
        <v>418</v>
      </c>
      <c r="B52" s="1150">
        <v>6080</v>
      </c>
      <c r="C52" s="254" t="s">
        <v>1636</v>
      </c>
      <c r="D52" s="106">
        <v>132100</v>
      </c>
      <c r="E52" s="106">
        <v>131825.32</v>
      </c>
      <c r="F52" s="1145">
        <f t="shared" si="1"/>
        <v>99.79206661619986</v>
      </c>
    </row>
    <row r="53" spans="1:6" ht="18" customHeight="1">
      <c r="A53" s="1166" t="s">
        <v>419</v>
      </c>
      <c r="B53" s="1153"/>
      <c r="C53" s="254" t="s">
        <v>1637</v>
      </c>
      <c r="D53" s="106">
        <v>900000</v>
      </c>
      <c r="E53" s="106">
        <v>860264.59</v>
      </c>
      <c r="F53" s="1145">
        <f t="shared" si="1"/>
        <v>95.58495444444443</v>
      </c>
    </row>
    <row r="54" spans="1:6" ht="19.5" customHeight="1">
      <c r="A54" s="578" t="s">
        <v>1278</v>
      </c>
      <c r="B54" s="1123"/>
      <c r="C54" s="1109" t="s">
        <v>1638</v>
      </c>
      <c r="D54" s="1110">
        <v>0</v>
      </c>
      <c r="E54" s="1110">
        <v>450249.63</v>
      </c>
      <c r="F54" s="1167" t="s">
        <v>1195</v>
      </c>
    </row>
    <row r="55" spans="1:6" s="98" customFormat="1" ht="19.5" customHeight="1">
      <c r="A55" s="1160" t="s">
        <v>1639</v>
      </c>
      <c r="B55" s="1161"/>
      <c r="C55" s="1168" t="s">
        <v>1196</v>
      </c>
      <c r="D55" s="105">
        <v>152000</v>
      </c>
      <c r="E55" s="105">
        <v>136114</v>
      </c>
      <c r="F55" s="1169" t="s">
        <v>1227</v>
      </c>
    </row>
    <row r="56" spans="1:6" s="98" customFormat="1" ht="19.5" customHeight="1">
      <c r="A56" s="1160" t="s">
        <v>1414</v>
      </c>
      <c r="B56" s="1161"/>
      <c r="C56" s="1168" t="s">
        <v>1413</v>
      </c>
      <c r="D56" s="105">
        <v>200000</v>
      </c>
      <c r="E56" s="105">
        <v>200000</v>
      </c>
      <c r="F56" s="1169" t="s">
        <v>1227</v>
      </c>
    </row>
    <row r="57" spans="1:6" s="98" customFormat="1" ht="25.5" customHeight="1" thickBot="1">
      <c r="A57" s="1170" t="s">
        <v>196</v>
      </c>
      <c r="B57" s="1171"/>
      <c r="C57" s="1172" t="s">
        <v>708</v>
      </c>
      <c r="D57" s="1173">
        <f>SUM(D8+D9-D17-D55-D56)</f>
        <v>328500</v>
      </c>
      <c r="E57" s="1173">
        <f>SUM(E8+E9-E17-E55-E56)</f>
        <v>461064.8100000005</v>
      </c>
      <c r="F57" s="1174" t="s">
        <v>1227</v>
      </c>
    </row>
    <row r="58" spans="1:6" ht="18" customHeight="1" thickBot="1">
      <c r="A58" s="2157" t="s">
        <v>197</v>
      </c>
      <c r="B58" s="2158"/>
      <c r="C58" s="2159"/>
      <c r="D58" s="1148">
        <f>D17+D55+D56+D57</f>
        <v>11102687</v>
      </c>
      <c r="E58" s="1148">
        <f>E17+E55+E56+E57</f>
        <v>11232681.59</v>
      </c>
      <c r="F58" s="1149">
        <f>E58/D58*100</f>
        <v>101.17083900500843</v>
      </c>
    </row>
    <row r="59" spans="3:5" ht="12.75" hidden="1">
      <c r="C59" s="604" t="s">
        <v>77</v>
      </c>
      <c r="D59" s="583">
        <f>D16-D58</f>
        <v>0</v>
      </c>
      <c r="E59" s="583">
        <f>E16-E58</f>
        <v>0</v>
      </c>
    </row>
  </sheetData>
  <sheetProtection password="CF53" sheet="1" formatRows="0" insertColumns="0" insertRows="0" insertHyperlinks="0" deleteColumns="0" deleteRows="0" sort="0" autoFilter="0" pivotTables="0"/>
  <mergeCells count="5">
    <mergeCell ref="A58:C58"/>
    <mergeCell ref="A16:C16"/>
    <mergeCell ref="A3:F3"/>
    <mergeCell ref="E1:F1"/>
    <mergeCell ref="A5:C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J20"/>
  <sheetViews>
    <sheetView view="pageBreakPreview" zoomScaleSheetLayoutView="100" zoomScalePageLayoutView="0" workbookViewId="0" topLeftCell="A1">
      <selection activeCell="F1" sqref="F1"/>
    </sheetView>
  </sheetViews>
  <sheetFormatPr defaultColWidth="9.00390625" defaultRowHeight="12.75"/>
  <cols>
    <col min="1" max="1" width="14.375" style="72" customWidth="1"/>
    <col min="2" max="2" width="17.00390625" style="72" customWidth="1"/>
    <col min="3" max="3" width="13.75390625" style="70" customWidth="1"/>
    <col min="4" max="4" width="13.875" style="70" customWidth="1"/>
    <col min="5" max="5" width="14.25390625" style="70" customWidth="1"/>
    <col min="6" max="6" width="13.625" style="70" customWidth="1"/>
    <col min="7" max="7" width="17.25390625" style="70" customWidth="1"/>
    <col min="8" max="8" width="16.375" style="70" customWidth="1"/>
    <col min="9" max="16384" width="9.125" style="70" customWidth="1"/>
  </cols>
  <sheetData>
    <row r="1" ht="23.25" customHeight="1">
      <c r="F1" s="1913" t="s">
        <v>1430</v>
      </c>
    </row>
    <row r="2" ht="23.25" customHeight="1">
      <c r="F2" s="73"/>
    </row>
    <row r="3" spans="1:6" ht="30.75" customHeight="1">
      <c r="A3" s="1929" t="s">
        <v>1671</v>
      </c>
      <c r="B3" s="1929"/>
      <c r="C3" s="1929"/>
      <c r="D3" s="1929"/>
      <c r="E3" s="1929"/>
      <c r="F3" s="1929"/>
    </row>
    <row r="4" ht="16.5" customHeight="1" thickBot="1">
      <c r="F4" s="73" t="s">
        <v>208</v>
      </c>
    </row>
    <row r="5" spans="1:6" s="89" customFormat="1" ht="18" customHeight="1">
      <c r="A5" s="1961" t="s">
        <v>594</v>
      </c>
      <c r="B5" s="1949" t="s">
        <v>1684</v>
      </c>
      <c r="C5" s="1953" t="s">
        <v>337</v>
      </c>
      <c r="D5" s="1954"/>
      <c r="E5" s="1953" t="s">
        <v>338</v>
      </c>
      <c r="F5" s="1960"/>
    </row>
    <row r="6" spans="1:6" s="89" customFormat="1" ht="18" customHeight="1">
      <c r="A6" s="1962"/>
      <c r="B6" s="1950"/>
      <c r="C6" s="90" t="s">
        <v>595</v>
      </c>
      <c r="D6" s="90" t="s">
        <v>596</v>
      </c>
      <c r="E6" s="90" t="s">
        <v>595</v>
      </c>
      <c r="F6" s="91" t="s">
        <v>596</v>
      </c>
    </row>
    <row r="7" spans="1:6" s="89" customFormat="1" ht="13.5" customHeight="1">
      <c r="A7" s="92">
        <v>1</v>
      </c>
      <c r="B7" s="93">
        <v>2</v>
      </c>
      <c r="C7" s="90">
        <v>3</v>
      </c>
      <c r="D7" s="90">
        <v>4</v>
      </c>
      <c r="E7" s="90">
        <v>5</v>
      </c>
      <c r="F7" s="91">
        <v>6</v>
      </c>
    </row>
    <row r="8" spans="1:6" s="77" customFormat="1" ht="18" customHeight="1">
      <c r="A8" s="1927" t="s">
        <v>597</v>
      </c>
      <c r="B8" s="1928"/>
      <c r="C8" s="1930">
        <v>3359347</v>
      </c>
      <c r="D8" s="1938"/>
      <c r="E8" s="1930">
        <v>5800000</v>
      </c>
      <c r="F8" s="1931"/>
    </row>
    <row r="9" spans="1:10" ht="18" customHeight="1">
      <c r="A9" s="83" t="s">
        <v>1023</v>
      </c>
      <c r="B9" s="84" t="s">
        <v>1024</v>
      </c>
      <c r="C9" s="85">
        <v>0</v>
      </c>
      <c r="D9" s="85">
        <v>3368616</v>
      </c>
      <c r="E9" s="85">
        <v>0</v>
      </c>
      <c r="F9" s="86">
        <v>0</v>
      </c>
      <c r="H9" s="87"/>
      <c r="I9" s="88"/>
      <c r="J9" s="88"/>
    </row>
    <row r="10" spans="1:10" s="87" customFormat="1" ht="18" customHeight="1">
      <c r="A10" s="94" t="s">
        <v>1044</v>
      </c>
      <c r="B10" s="84" t="s">
        <v>1045</v>
      </c>
      <c r="C10" s="85">
        <v>0</v>
      </c>
      <c r="D10" s="85">
        <v>8015283</v>
      </c>
      <c r="E10" s="85">
        <v>0</v>
      </c>
      <c r="F10" s="86">
        <v>0</v>
      </c>
      <c r="I10" s="88"/>
      <c r="J10" s="88"/>
    </row>
    <row r="11" spans="1:10" s="87" customFormat="1" ht="18" customHeight="1">
      <c r="A11" s="94" t="s">
        <v>1074</v>
      </c>
      <c r="B11" s="84" t="s">
        <v>1381</v>
      </c>
      <c r="C11" s="85">
        <v>0</v>
      </c>
      <c r="D11" s="85">
        <v>14000000</v>
      </c>
      <c r="E11" s="85">
        <v>0</v>
      </c>
      <c r="F11" s="86">
        <v>0</v>
      </c>
      <c r="I11" s="88"/>
      <c r="J11" s="88"/>
    </row>
    <row r="12" spans="1:6" s="77" customFormat="1" ht="18" customHeight="1">
      <c r="A12" s="1956" t="s">
        <v>1216</v>
      </c>
      <c r="B12" s="1957"/>
      <c r="C12" s="95">
        <f>SUM(C9,C10,C11)</f>
        <v>0</v>
      </c>
      <c r="D12" s="95">
        <f>SUM(D9,D10,D11)</f>
        <v>25383899</v>
      </c>
      <c r="E12" s="95">
        <f>SUM(E9,E10,E11)</f>
        <v>0</v>
      </c>
      <c r="F12" s="95">
        <f>SUM(F9,F10,F11)</f>
        <v>0</v>
      </c>
    </row>
    <row r="13" spans="1:6" s="77" customFormat="1" ht="18" customHeight="1">
      <c r="A13" s="1958" t="s">
        <v>598</v>
      </c>
      <c r="B13" s="1959"/>
      <c r="C13" s="1951">
        <f>SUM(C12:D12)</f>
        <v>25383899</v>
      </c>
      <c r="D13" s="1955"/>
      <c r="E13" s="1951">
        <f>SUM(E12:F12)</f>
        <v>0</v>
      </c>
      <c r="F13" s="1952"/>
    </row>
    <row r="14" spans="1:6" s="77" customFormat="1" ht="18" customHeight="1" thickBot="1">
      <c r="A14" s="1947" t="s">
        <v>599</v>
      </c>
      <c r="B14" s="1948"/>
      <c r="C14" s="1941">
        <f>SUM(C8,C13)</f>
        <v>28743246</v>
      </c>
      <c r="D14" s="1942"/>
      <c r="E14" s="1941">
        <f>SUM(E8,E13)</f>
        <v>5800000</v>
      </c>
      <c r="F14" s="1946"/>
    </row>
    <row r="16" spans="1:6" ht="12.75" hidden="1">
      <c r="A16" s="72" t="s">
        <v>962</v>
      </c>
      <c r="C16" s="1940">
        <v>39420572</v>
      </c>
      <c r="D16" s="1940"/>
      <c r="E16" s="1940">
        <v>38800000</v>
      </c>
      <c r="F16" s="1940"/>
    </row>
    <row r="17" spans="1:6" ht="12.75" hidden="1">
      <c r="A17" s="72" t="s">
        <v>77</v>
      </c>
      <c r="C17" s="1940">
        <f>C14-C16</f>
        <v>-10677326</v>
      </c>
      <c r="D17" s="1940"/>
      <c r="E17" s="1940">
        <f>E14-E16</f>
        <v>-33000000</v>
      </c>
      <c r="F17" s="1940"/>
    </row>
    <row r="18" ht="12.75" hidden="1"/>
    <row r="19" spans="2:6" ht="12.75" hidden="1">
      <c r="B19" s="72" t="s">
        <v>1570</v>
      </c>
      <c r="C19" s="1940">
        <v>54971639</v>
      </c>
      <c r="D19" s="1940"/>
      <c r="E19" s="1940">
        <v>10800000</v>
      </c>
      <c r="F19" s="1940"/>
    </row>
    <row r="20" spans="2:6" ht="12.75" hidden="1">
      <c r="B20" s="72" t="s">
        <v>1445</v>
      </c>
      <c r="C20" s="1940">
        <f>C14-C19</f>
        <v>-26228393</v>
      </c>
      <c r="D20" s="1940"/>
      <c r="E20" s="1940">
        <f>E14-E19</f>
        <v>-5000000</v>
      </c>
      <c r="F20" s="1940"/>
    </row>
  </sheetData>
  <sheetProtection password="CF53" sheet="1" formatRows="0" insertColumns="0" insertRows="0" insertHyperlinks="0" deleteColumns="0" deleteRows="0" sort="0" autoFilter="0" pivotTables="0"/>
  <mergeCells count="23">
    <mergeCell ref="A3:F3"/>
    <mergeCell ref="A12:B12"/>
    <mergeCell ref="A13:B13"/>
    <mergeCell ref="E8:F8"/>
    <mergeCell ref="E5:F5"/>
    <mergeCell ref="A5:A6"/>
    <mergeCell ref="A14:B14"/>
    <mergeCell ref="C17:D17"/>
    <mergeCell ref="B5:B6"/>
    <mergeCell ref="A8:B8"/>
    <mergeCell ref="E13:F13"/>
    <mergeCell ref="C5:D5"/>
    <mergeCell ref="C8:D8"/>
    <mergeCell ref="C13:D13"/>
    <mergeCell ref="E20:F20"/>
    <mergeCell ref="C14:D14"/>
    <mergeCell ref="E19:F19"/>
    <mergeCell ref="E17:F17"/>
    <mergeCell ref="C16:D16"/>
    <mergeCell ref="E16:F16"/>
    <mergeCell ref="C20:D20"/>
    <mergeCell ref="E14:F14"/>
    <mergeCell ref="C19:D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F60"/>
  <sheetViews>
    <sheetView view="pageBreakPreview" zoomScaleSheetLayoutView="100" zoomScalePageLayoutView="0" workbookViewId="0" topLeftCell="A1">
      <selection activeCell="E13" sqref="E13"/>
    </sheetView>
  </sheetViews>
  <sheetFormatPr defaultColWidth="9.00390625" defaultRowHeight="12.75"/>
  <cols>
    <col min="1" max="1" width="3.625" style="97" customWidth="1"/>
    <col min="2" max="2" width="4.375" style="97" customWidth="1"/>
    <col min="3" max="3" width="50.625" style="97" customWidth="1"/>
    <col min="4" max="4" width="11.25390625" style="97" customWidth="1"/>
    <col min="5" max="5" width="11.25390625" style="97" bestFit="1" customWidth="1"/>
    <col min="6" max="6" width="5.625" style="97" customWidth="1"/>
    <col min="7" max="16384" width="9.125" style="97" customWidth="1"/>
  </cols>
  <sheetData>
    <row r="1" spans="5:6" ht="12.75">
      <c r="E1" s="1963" t="s">
        <v>1440</v>
      </c>
      <c r="F1" s="1963"/>
    </row>
    <row r="3" spans="1:6" ht="12" customHeight="1">
      <c r="A3" s="1967" t="s">
        <v>1408</v>
      </c>
      <c r="B3" s="1967"/>
      <c r="C3" s="1967"/>
      <c r="D3" s="1967"/>
      <c r="E3" s="1967"/>
      <c r="F3" s="1967"/>
    </row>
    <row r="4" spans="1:6" ht="12" customHeight="1">
      <c r="A4" s="96"/>
      <c r="B4" s="96"/>
      <c r="C4" s="96"/>
      <c r="D4" s="96"/>
      <c r="E4" s="96"/>
      <c r="F4" s="96"/>
    </row>
    <row r="5" spans="1:6" ht="14.25" customHeight="1" thickBot="1">
      <c r="A5" s="2162" t="s">
        <v>1749</v>
      </c>
      <c r="B5" s="2162"/>
      <c r="C5" s="2162"/>
      <c r="F5" s="604" t="s">
        <v>208</v>
      </c>
    </row>
    <row r="6" spans="1:6" s="96" customFormat="1" ht="22.5" customHeight="1">
      <c r="A6" s="1008" t="s">
        <v>1219</v>
      </c>
      <c r="B6" s="1009" t="s">
        <v>130</v>
      </c>
      <c r="C6" s="1009" t="s">
        <v>210</v>
      </c>
      <c r="D6" s="1010" t="s">
        <v>211</v>
      </c>
      <c r="E6" s="1010" t="s">
        <v>212</v>
      </c>
      <c r="F6" s="1137" t="s">
        <v>815</v>
      </c>
    </row>
    <row r="7" spans="1:6" s="1142" customFormat="1" ht="12" customHeight="1" thickBot="1">
      <c r="A7" s="1138">
        <v>1</v>
      </c>
      <c r="B7" s="1139">
        <v>2</v>
      </c>
      <c r="C7" s="1139">
        <v>3</v>
      </c>
      <c r="D7" s="1140">
        <v>4</v>
      </c>
      <c r="E7" s="1140">
        <v>5</v>
      </c>
      <c r="F7" s="1141">
        <v>6</v>
      </c>
    </row>
    <row r="8" spans="1:6" s="98" customFormat="1" ht="27" customHeight="1">
      <c r="A8" s="819" t="s">
        <v>816</v>
      </c>
      <c r="B8" s="820"/>
      <c r="C8" s="1146" t="s">
        <v>707</v>
      </c>
      <c r="D8" s="821">
        <v>95519</v>
      </c>
      <c r="E8" s="821">
        <v>95518.2</v>
      </c>
      <c r="F8" s="1147" t="s">
        <v>1227</v>
      </c>
    </row>
    <row r="9" spans="1:6" s="98" customFormat="1" ht="19.5" customHeight="1">
      <c r="A9" s="1056" t="s">
        <v>817</v>
      </c>
      <c r="B9" s="1143"/>
      <c r="C9" s="1143" t="s">
        <v>1211</v>
      </c>
      <c r="D9" s="104">
        <f>SUM(D10,D11,D12,D13,D14,D15,D16)</f>
        <v>6298816</v>
      </c>
      <c r="E9" s="104">
        <f>SUM(E10,E11,E12,E13,E14,E15,E16)</f>
        <v>6193925.77</v>
      </c>
      <c r="F9" s="1144">
        <f aca="true" t="shared" si="0" ref="F9:F21">E9/D9*100</f>
        <v>98.33476275541308</v>
      </c>
    </row>
    <row r="10" spans="1:6" ht="53.25" customHeight="1">
      <c r="A10" s="824" t="s">
        <v>1222</v>
      </c>
      <c r="B10" s="217" t="s">
        <v>990</v>
      </c>
      <c r="C10" s="254" t="s">
        <v>1643</v>
      </c>
      <c r="D10" s="106">
        <v>1600000</v>
      </c>
      <c r="E10" s="106">
        <v>1575438.53</v>
      </c>
      <c r="F10" s="1145">
        <f t="shared" si="0"/>
        <v>98.46490812500001</v>
      </c>
    </row>
    <row r="11" spans="1:6" ht="18.75" customHeight="1">
      <c r="A11" s="824" t="s">
        <v>1223</v>
      </c>
      <c r="B11" s="217" t="s">
        <v>985</v>
      </c>
      <c r="C11" s="229" t="s">
        <v>818</v>
      </c>
      <c r="D11" s="106">
        <v>2500000</v>
      </c>
      <c r="E11" s="106">
        <v>2423780.11</v>
      </c>
      <c r="F11" s="1145">
        <f t="shared" si="0"/>
        <v>96.9512044</v>
      </c>
    </row>
    <row r="12" spans="1:6" ht="18.75" customHeight="1">
      <c r="A12" s="824" t="s">
        <v>1548</v>
      </c>
      <c r="B12" s="217" t="s">
        <v>986</v>
      </c>
      <c r="C12" s="229" t="s">
        <v>1161</v>
      </c>
      <c r="D12" s="106">
        <v>145000</v>
      </c>
      <c r="E12" s="106">
        <v>141808.7</v>
      </c>
      <c r="F12" s="1145">
        <f t="shared" si="0"/>
        <v>97.79910344827587</v>
      </c>
    </row>
    <row r="13" spans="1:6" ht="18.75" customHeight="1">
      <c r="A13" s="824" t="s">
        <v>1555</v>
      </c>
      <c r="B13" s="217" t="s">
        <v>987</v>
      </c>
      <c r="C13" s="229" t="s">
        <v>1160</v>
      </c>
      <c r="D13" s="106">
        <v>13000</v>
      </c>
      <c r="E13" s="106">
        <v>12254.8</v>
      </c>
      <c r="F13" s="1145">
        <f t="shared" si="0"/>
        <v>94.2676923076923</v>
      </c>
    </row>
    <row r="14" spans="1:6" ht="31.5" customHeight="1">
      <c r="A14" s="824" t="s">
        <v>1556</v>
      </c>
      <c r="B14" s="217" t="s">
        <v>819</v>
      </c>
      <c r="C14" s="254" t="s">
        <v>198</v>
      </c>
      <c r="D14" s="106">
        <v>2007408</v>
      </c>
      <c r="E14" s="106">
        <v>2007407.4</v>
      </c>
      <c r="F14" s="1145">
        <f t="shared" si="0"/>
        <v>99.99997011070992</v>
      </c>
    </row>
    <row r="15" spans="1:6" ht="18.75" customHeight="1">
      <c r="A15" s="824" t="s">
        <v>1557</v>
      </c>
      <c r="B15" s="217"/>
      <c r="C15" s="229" t="s">
        <v>820</v>
      </c>
      <c r="D15" s="106">
        <v>11408</v>
      </c>
      <c r="E15" s="106">
        <v>11408</v>
      </c>
      <c r="F15" s="1145">
        <f t="shared" si="0"/>
        <v>100</v>
      </c>
    </row>
    <row r="16" spans="1:6" ht="17.25" customHeight="1" thickBot="1">
      <c r="A16" s="824" t="s">
        <v>329</v>
      </c>
      <c r="B16" s="217"/>
      <c r="C16" s="229" t="s">
        <v>939</v>
      </c>
      <c r="D16" s="106">
        <v>22000</v>
      </c>
      <c r="E16" s="106">
        <v>21828.23</v>
      </c>
      <c r="F16" s="1145">
        <f t="shared" si="0"/>
        <v>99.21922727272727</v>
      </c>
    </row>
    <row r="17" spans="1:6" s="98" customFormat="1" ht="18.75" customHeight="1" thickBot="1">
      <c r="A17" s="2160" t="s">
        <v>821</v>
      </c>
      <c r="B17" s="2161"/>
      <c r="C17" s="2161"/>
      <c r="D17" s="1148">
        <f>D9+D8</f>
        <v>6394335</v>
      </c>
      <c r="E17" s="1148">
        <f>E9+E8</f>
        <v>6289443.97</v>
      </c>
      <c r="F17" s="1149">
        <f t="shared" si="0"/>
        <v>98.35962566865827</v>
      </c>
    </row>
    <row r="18" spans="1:6" s="98" customFormat="1" ht="18.75" customHeight="1">
      <c r="A18" s="819" t="s">
        <v>823</v>
      </c>
      <c r="B18" s="820"/>
      <c r="C18" s="820" t="s">
        <v>824</v>
      </c>
      <c r="D18" s="821">
        <f>SUM(D19:D56)</f>
        <v>6303604</v>
      </c>
      <c r="E18" s="821">
        <f>SUM(E19:E56)</f>
        <v>6288727.250000001</v>
      </c>
      <c r="F18" s="1155">
        <f t="shared" si="0"/>
        <v>99.76399612031469</v>
      </c>
    </row>
    <row r="19" spans="1:6" ht="18.75" customHeight="1">
      <c r="A19" s="824" t="s">
        <v>1222</v>
      </c>
      <c r="B19" s="1150">
        <v>3020</v>
      </c>
      <c r="C19" s="229" t="s">
        <v>825</v>
      </c>
      <c r="D19" s="106">
        <v>10900</v>
      </c>
      <c r="E19" s="106">
        <v>10840.02</v>
      </c>
      <c r="F19" s="1145">
        <f t="shared" si="0"/>
        <v>99.4497247706422</v>
      </c>
    </row>
    <row r="20" spans="1:6" ht="18.75" customHeight="1">
      <c r="A20" s="824" t="s">
        <v>1223</v>
      </c>
      <c r="B20" s="1150">
        <v>4010</v>
      </c>
      <c r="C20" s="229" t="s">
        <v>826</v>
      </c>
      <c r="D20" s="106">
        <v>2007500</v>
      </c>
      <c r="E20" s="106">
        <v>2007317.17</v>
      </c>
      <c r="F20" s="1145">
        <f t="shared" si="0"/>
        <v>99.99089265255292</v>
      </c>
    </row>
    <row r="21" spans="1:6" ht="18.75" customHeight="1">
      <c r="A21" s="824" t="s">
        <v>1548</v>
      </c>
      <c r="B21" s="1150">
        <v>4040</v>
      </c>
      <c r="C21" s="229" t="s">
        <v>827</v>
      </c>
      <c r="D21" s="106">
        <v>143500</v>
      </c>
      <c r="E21" s="106">
        <v>143488.22</v>
      </c>
      <c r="F21" s="1145">
        <f t="shared" si="0"/>
        <v>99.99179094076655</v>
      </c>
    </row>
    <row r="22" spans="1:6" ht="18.75" customHeight="1">
      <c r="A22" s="824" t="s">
        <v>1555</v>
      </c>
      <c r="B22" s="1150">
        <v>4110</v>
      </c>
      <c r="C22" s="229" t="s">
        <v>1608</v>
      </c>
      <c r="D22" s="106">
        <v>434000</v>
      </c>
      <c r="E22" s="106">
        <v>433644.56</v>
      </c>
      <c r="F22" s="1145">
        <f aca="true" t="shared" si="1" ref="F22:F45">E22/D22*100</f>
        <v>99.91810138248847</v>
      </c>
    </row>
    <row r="23" spans="1:6" ht="18.75" customHeight="1">
      <c r="A23" s="824" t="s">
        <v>1556</v>
      </c>
      <c r="B23" s="1150">
        <v>4118</v>
      </c>
      <c r="C23" s="229" t="s">
        <v>1608</v>
      </c>
      <c r="D23" s="106">
        <v>200</v>
      </c>
      <c r="E23" s="106">
        <v>70.12</v>
      </c>
      <c r="F23" s="1145">
        <f t="shared" si="1"/>
        <v>35.06</v>
      </c>
    </row>
    <row r="24" spans="1:6" ht="18.75" customHeight="1">
      <c r="A24" s="824" t="s">
        <v>1557</v>
      </c>
      <c r="B24" s="1150">
        <v>4119</v>
      </c>
      <c r="C24" s="229" t="s">
        <v>1608</v>
      </c>
      <c r="D24" s="106">
        <v>100</v>
      </c>
      <c r="E24" s="106">
        <v>12.38</v>
      </c>
      <c r="F24" s="1145">
        <f t="shared" si="1"/>
        <v>12.38</v>
      </c>
    </row>
    <row r="25" spans="1:6" ht="18.75" customHeight="1">
      <c r="A25" s="824" t="s">
        <v>1556</v>
      </c>
      <c r="B25" s="1150">
        <v>4120</v>
      </c>
      <c r="C25" s="229" t="s">
        <v>1609</v>
      </c>
      <c r="D25" s="106">
        <v>43000</v>
      </c>
      <c r="E25" s="106">
        <v>42724.17</v>
      </c>
      <c r="F25" s="1145">
        <f t="shared" si="1"/>
        <v>99.35853488372092</v>
      </c>
    </row>
    <row r="26" spans="1:6" ht="30" customHeight="1">
      <c r="A26" s="824" t="s">
        <v>1557</v>
      </c>
      <c r="B26" s="1150">
        <v>4140</v>
      </c>
      <c r="C26" s="254" t="s">
        <v>1409</v>
      </c>
      <c r="D26" s="106">
        <v>17000</v>
      </c>
      <c r="E26" s="106">
        <v>16634</v>
      </c>
      <c r="F26" s="1145">
        <f t="shared" si="1"/>
        <v>97.84705882352941</v>
      </c>
    </row>
    <row r="27" spans="1:6" ht="18.75" customHeight="1">
      <c r="A27" s="824" t="s">
        <v>329</v>
      </c>
      <c r="B27" s="1150">
        <v>4170</v>
      </c>
      <c r="C27" s="229" t="s">
        <v>1610</v>
      </c>
      <c r="D27" s="106">
        <v>735242</v>
      </c>
      <c r="E27" s="106">
        <v>729345.16</v>
      </c>
      <c r="F27" s="1145">
        <f t="shared" si="1"/>
        <v>99.19797291232003</v>
      </c>
    </row>
    <row r="28" spans="1:6" ht="18.75" customHeight="1">
      <c r="A28" s="824" t="s">
        <v>330</v>
      </c>
      <c r="B28" s="1150">
        <v>4178</v>
      </c>
      <c r="C28" s="229" t="s">
        <v>1610</v>
      </c>
      <c r="D28" s="106">
        <v>3000</v>
      </c>
      <c r="E28" s="106">
        <v>2312</v>
      </c>
      <c r="F28" s="1145">
        <f t="shared" si="1"/>
        <v>77.06666666666668</v>
      </c>
    </row>
    <row r="29" spans="1:6" ht="18.75" customHeight="1">
      <c r="A29" s="824" t="s">
        <v>1558</v>
      </c>
      <c r="B29" s="1150">
        <v>4179</v>
      </c>
      <c r="C29" s="229" t="s">
        <v>1610</v>
      </c>
      <c r="D29" s="106">
        <v>800</v>
      </c>
      <c r="E29" s="106">
        <v>408</v>
      </c>
      <c r="F29" s="1145">
        <f t="shared" si="1"/>
        <v>51</v>
      </c>
    </row>
    <row r="30" spans="1:6" ht="18.75" customHeight="1">
      <c r="A30" s="824" t="s">
        <v>1560</v>
      </c>
      <c r="B30" s="1150">
        <v>4210</v>
      </c>
      <c r="C30" s="229" t="s">
        <v>1611</v>
      </c>
      <c r="D30" s="106">
        <v>374100</v>
      </c>
      <c r="E30" s="106">
        <v>374084.85</v>
      </c>
      <c r="F30" s="1145">
        <f t="shared" si="1"/>
        <v>99.99595028067361</v>
      </c>
    </row>
    <row r="31" spans="1:6" ht="18.75" customHeight="1">
      <c r="A31" s="824" t="s">
        <v>331</v>
      </c>
      <c r="B31" s="1150">
        <v>4218</v>
      </c>
      <c r="C31" s="229" t="s">
        <v>1611</v>
      </c>
      <c r="D31" s="106">
        <v>4000</v>
      </c>
      <c r="E31" s="106">
        <v>3530.2</v>
      </c>
      <c r="F31" s="1145">
        <f t="shared" si="1"/>
        <v>88.255</v>
      </c>
    </row>
    <row r="32" spans="1:6" ht="18.75" customHeight="1">
      <c r="A32" s="824" t="s">
        <v>1561</v>
      </c>
      <c r="B32" s="1150">
        <v>4219</v>
      </c>
      <c r="C32" s="229" t="s">
        <v>1611</v>
      </c>
      <c r="D32" s="106">
        <v>1000</v>
      </c>
      <c r="E32" s="106">
        <v>622.97</v>
      </c>
      <c r="F32" s="1145">
        <f t="shared" si="1"/>
        <v>62.297000000000004</v>
      </c>
    </row>
    <row r="33" spans="1:6" ht="18.75" customHeight="1">
      <c r="A33" s="824" t="s">
        <v>1562</v>
      </c>
      <c r="B33" s="1150">
        <v>4260</v>
      </c>
      <c r="C33" s="229" t="s">
        <v>1612</v>
      </c>
      <c r="D33" s="106">
        <v>881000</v>
      </c>
      <c r="E33" s="106">
        <v>880447.47</v>
      </c>
      <c r="F33" s="1145">
        <f t="shared" si="1"/>
        <v>99.93728376844496</v>
      </c>
    </row>
    <row r="34" spans="1:6" ht="18.75" customHeight="1">
      <c r="A34" s="824" t="s">
        <v>332</v>
      </c>
      <c r="B34" s="1150">
        <v>4270</v>
      </c>
      <c r="C34" s="229" t="s">
        <v>1613</v>
      </c>
      <c r="D34" s="106">
        <v>14000</v>
      </c>
      <c r="E34" s="106">
        <v>13531.2</v>
      </c>
      <c r="F34" s="1145">
        <f t="shared" si="1"/>
        <v>96.65142857142858</v>
      </c>
    </row>
    <row r="35" spans="1:6" ht="18.75" customHeight="1">
      <c r="A35" s="824" t="s">
        <v>1563</v>
      </c>
      <c r="B35" s="1150">
        <v>4280</v>
      </c>
      <c r="C35" s="229" t="s">
        <v>1407</v>
      </c>
      <c r="D35" s="106">
        <v>3500</v>
      </c>
      <c r="E35" s="106">
        <v>3305</v>
      </c>
      <c r="F35" s="1145">
        <f t="shared" si="1"/>
        <v>94.42857142857143</v>
      </c>
    </row>
    <row r="36" spans="1:6" ht="18.75" customHeight="1">
      <c r="A36" s="824" t="s">
        <v>1564</v>
      </c>
      <c r="B36" s="1150">
        <v>4300</v>
      </c>
      <c r="C36" s="229" t="s">
        <v>1621</v>
      </c>
      <c r="D36" s="106">
        <v>501500</v>
      </c>
      <c r="E36" s="106">
        <v>501180.39</v>
      </c>
      <c r="F36" s="1145">
        <f t="shared" si="1"/>
        <v>99.93626919242273</v>
      </c>
    </row>
    <row r="37" spans="1:6" ht="18.75" customHeight="1">
      <c r="A37" s="824" t="s">
        <v>1565</v>
      </c>
      <c r="B37" s="1150">
        <v>4308</v>
      </c>
      <c r="C37" s="229" t="s">
        <v>1621</v>
      </c>
      <c r="D37" s="106">
        <v>3100</v>
      </c>
      <c r="E37" s="106">
        <v>3091.36</v>
      </c>
      <c r="F37" s="1145">
        <f t="shared" si="1"/>
        <v>99.72129032258064</v>
      </c>
    </row>
    <row r="38" spans="1:6" ht="18.75" customHeight="1">
      <c r="A38" s="824" t="s">
        <v>1566</v>
      </c>
      <c r="B38" s="1150">
        <v>4309</v>
      </c>
      <c r="C38" s="229" t="s">
        <v>1621</v>
      </c>
      <c r="D38" s="106">
        <v>1000</v>
      </c>
      <c r="E38" s="106">
        <v>545.54</v>
      </c>
      <c r="F38" s="1145">
        <f t="shared" si="1"/>
        <v>54.55399999999999</v>
      </c>
    </row>
    <row r="39" spans="1:6" ht="18.75" customHeight="1">
      <c r="A39" s="824" t="s">
        <v>1572</v>
      </c>
      <c r="B39" s="1150">
        <v>4350</v>
      </c>
      <c r="C39" s="229" t="s">
        <v>1622</v>
      </c>
      <c r="D39" s="106">
        <v>7000</v>
      </c>
      <c r="E39" s="106">
        <v>6564.44</v>
      </c>
      <c r="F39" s="1145">
        <f t="shared" si="1"/>
        <v>93.77771428571428</v>
      </c>
    </row>
    <row r="40" spans="1:6" ht="27.75" customHeight="1">
      <c r="A40" s="824" t="s">
        <v>1573</v>
      </c>
      <c r="B40" s="1150">
        <v>4360</v>
      </c>
      <c r="C40" s="254" t="s">
        <v>1623</v>
      </c>
      <c r="D40" s="106">
        <v>11100</v>
      </c>
      <c r="E40" s="106">
        <v>11095.51</v>
      </c>
      <c r="F40" s="1145">
        <f t="shared" si="1"/>
        <v>99.95954954954955</v>
      </c>
    </row>
    <row r="41" spans="1:6" ht="30.75" customHeight="1">
      <c r="A41" s="824" t="s">
        <v>1574</v>
      </c>
      <c r="B41" s="1150">
        <v>4370</v>
      </c>
      <c r="C41" s="254" t="s">
        <v>1624</v>
      </c>
      <c r="D41" s="106">
        <v>14500</v>
      </c>
      <c r="E41" s="106">
        <v>14112.23</v>
      </c>
      <c r="F41" s="1145">
        <f t="shared" si="1"/>
        <v>97.32572413793103</v>
      </c>
    </row>
    <row r="42" spans="1:6" ht="18.75" customHeight="1">
      <c r="A42" s="824" t="s">
        <v>1575</v>
      </c>
      <c r="B42" s="1150">
        <v>4390</v>
      </c>
      <c r="C42" s="229" t="s">
        <v>1410</v>
      </c>
      <c r="D42" s="106">
        <v>10100</v>
      </c>
      <c r="E42" s="106">
        <v>10053</v>
      </c>
      <c r="F42" s="1145">
        <f t="shared" si="1"/>
        <v>99.53465346534654</v>
      </c>
    </row>
    <row r="43" spans="1:6" ht="27.75" customHeight="1" hidden="1">
      <c r="A43" s="824" t="s">
        <v>1183</v>
      </c>
      <c r="B43" s="1150">
        <v>4400</v>
      </c>
      <c r="C43" s="254" t="s">
        <v>1625</v>
      </c>
      <c r="D43" s="106">
        <v>0</v>
      </c>
      <c r="E43" s="106">
        <v>0</v>
      </c>
      <c r="F43" s="1145" t="e">
        <f t="shared" si="1"/>
        <v>#DIV/0!</v>
      </c>
    </row>
    <row r="44" spans="1:6" ht="18.75" customHeight="1">
      <c r="A44" s="824" t="s">
        <v>1184</v>
      </c>
      <c r="B44" s="1150">
        <v>4410</v>
      </c>
      <c r="C44" s="229" t="s">
        <v>1626</v>
      </c>
      <c r="D44" s="106">
        <v>19000</v>
      </c>
      <c r="E44" s="106">
        <v>18971.14</v>
      </c>
      <c r="F44" s="1145">
        <f t="shared" si="1"/>
        <v>99.84810526315789</v>
      </c>
    </row>
    <row r="45" spans="1:6" ht="18.75" customHeight="1">
      <c r="A45" s="824" t="s">
        <v>1185</v>
      </c>
      <c r="B45" s="1150">
        <v>4420</v>
      </c>
      <c r="C45" s="229" t="s">
        <v>1411</v>
      </c>
      <c r="D45" s="106">
        <v>1000</v>
      </c>
      <c r="E45" s="106">
        <v>760.09</v>
      </c>
      <c r="F45" s="1145">
        <f t="shared" si="1"/>
        <v>76.009</v>
      </c>
    </row>
    <row r="46" spans="1:6" ht="18.75" customHeight="1">
      <c r="A46" s="824" t="s">
        <v>1186</v>
      </c>
      <c r="B46" s="1150">
        <v>4430</v>
      </c>
      <c r="C46" s="229" t="s">
        <v>1627</v>
      </c>
      <c r="D46" s="106">
        <v>75000</v>
      </c>
      <c r="E46" s="106">
        <v>74966.1</v>
      </c>
      <c r="F46" s="1145">
        <f aca="true" t="shared" si="2" ref="F46:F56">E46/D46*100</f>
        <v>99.9548</v>
      </c>
    </row>
    <row r="47" spans="1:6" ht="18.75" customHeight="1">
      <c r="A47" s="824" t="s">
        <v>1268</v>
      </c>
      <c r="B47" s="1150">
        <v>4440</v>
      </c>
      <c r="C47" s="229" t="s">
        <v>1628</v>
      </c>
      <c r="D47" s="106">
        <v>57000</v>
      </c>
      <c r="E47" s="106">
        <v>56702</v>
      </c>
      <c r="F47" s="1145">
        <f t="shared" si="2"/>
        <v>99.47719298245615</v>
      </c>
    </row>
    <row r="48" spans="1:6" ht="18.75" customHeight="1">
      <c r="A48" s="824" t="s">
        <v>1269</v>
      </c>
      <c r="B48" s="1150">
        <v>4480</v>
      </c>
      <c r="C48" s="229" t="s">
        <v>1171</v>
      </c>
      <c r="D48" s="106">
        <v>889000</v>
      </c>
      <c r="E48" s="106">
        <v>888009</v>
      </c>
      <c r="F48" s="1145">
        <f t="shared" si="2"/>
        <v>99.88852643419573</v>
      </c>
    </row>
    <row r="49" spans="1:6" ht="30.75" customHeight="1" hidden="1">
      <c r="A49" s="824" t="s">
        <v>1270</v>
      </c>
      <c r="B49" s="1150">
        <v>4500</v>
      </c>
      <c r="C49" s="254" t="s">
        <v>440</v>
      </c>
      <c r="D49" s="106">
        <v>0</v>
      </c>
      <c r="E49" s="106">
        <v>0</v>
      </c>
      <c r="F49" s="1145" t="e">
        <f t="shared" si="2"/>
        <v>#DIV/0!</v>
      </c>
    </row>
    <row r="50" spans="1:6" ht="18.75" customHeight="1">
      <c r="A50" s="824" t="s">
        <v>418</v>
      </c>
      <c r="B50" s="1150">
        <v>4520</v>
      </c>
      <c r="C50" s="254" t="s">
        <v>1412</v>
      </c>
      <c r="D50" s="106">
        <v>5000</v>
      </c>
      <c r="E50" s="106">
        <v>4142.93</v>
      </c>
      <c r="F50" s="1145">
        <f t="shared" si="2"/>
        <v>82.85860000000001</v>
      </c>
    </row>
    <row r="51" spans="1:6" ht="18.75" customHeight="1">
      <c r="A51" s="824" t="s">
        <v>419</v>
      </c>
      <c r="B51" s="1150">
        <v>4610</v>
      </c>
      <c r="C51" s="254" t="s">
        <v>908</v>
      </c>
      <c r="D51" s="106">
        <v>7000</v>
      </c>
      <c r="E51" s="106">
        <v>6905.78</v>
      </c>
      <c r="F51" s="1145">
        <f t="shared" si="2"/>
        <v>98.654</v>
      </c>
    </row>
    <row r="52" spans="1:6" ht="27" customHeight="1">
      <c r="A52" s="824" t="s">
        <v>1278</v>
      </c>
      <c r="B52" s="1150">
        <v>4700</v>
      </c>
      <c r="C52" s="254" t="s">
        <v>1631</v>
      </c>
      <c r="D52" s="106">
        <v>4000</v>
      </c>
      <c r="E52" s="106">
        <v>3848.25</v>
      </c>
      <c r="F52" s="1145">
        <f t="shared" si="2"/>
        <v>96.20625000000001</v>
      </c>
    </row>
    <row r="53" spans="1:6" ht="30" customHeight="1" hidden="1">
      <c r="A53" s="824" t="s">
        <v>29</v>
      </c>
      <c r="B53" s="1150">
        <v>4740</v>
      </c>
      <c r="C53" s="254" t="s">
        <v>1632</v>
      </c>
      <c r="D53" s="106">
        <v>0</v>
      </c>
      <c r="E53" s="106">
        <v>0</v>
      </c>
      <c r="F53" s="1145" t="e">
        <f t="shared" si="2"/>
        <v>#DIV/0!</v>
      </c>
    </row>
    <row r="54" spans="1:6" ht="18.75" customHeight="1">
      <c r="A54" s="824" t="s">
        <v>29</v>
      </c>
      <c r="B54" s="1152">
        <v>6070</v>
      </c>
      <c r="C54" s="1153" t="s">
        <v>724</v>
      </c>
      <c r="D54" s="829">
        <v>12054</v>
      </c>
      <c r="E54" s="829">
        <v>12054</v>
      </c>
      <c r="F54" s="1154">
        <f t="shared" si="2"/>
        <v>100</v>
      </c>
    </row>
    <row r="55" spans="1:6" ht="18.75" customHeight="1">
      <c r="A55" s="824" t="s">
        <v>415</v>
      </c>
      <c r="B55" s="1152"/>
      <c r="C55" s="1159" t="s">
        <v>1637</v>
      </c>
      <c r="D55" s="829">
        <v>11408</v>
      </c>
      <c r="E55" s="829">
        <v>11408</v>
      </c>
      <c r="F55" s="1145">
        <f t="shared" si="2"/>
        <v>100</v>
      </c>
    </row>
    <row r="56" spans="1:6" ht="18.75" customHeight="1">
      <c r="A56" s="824" t="s">
        <v>437</v>
      </c>
      <c r="B56" s="1123"/>
      <c r="C56" s="1123" t="s">
        <v>1638</v>
      </c>
      <c r="D56" s="1110">
        <v>2000</v>
      </c>
      <c r="E56" s="1110">
        <v>2000</v>
      </c>
      <c r="F56" s="1111">
        <f t="shared" si="2"/>
        <v>100</v>
      </c>
    </row>
    <row r="57" spans="1:6" s="98" customFormat="1" ht="22.5" customHeight="1">
      <c r="A57" s="1160" t="s">
        <v>1639</v>
      </c>
      <c r="B57" s="1161"/>
      <c r="C57" s="1161" t="s">
        <v>1413</v>
      </c>
      <c r="D57" s="105">
        <v>0</v>
      </c>
      <c r="E57" s="105">
        <v>0</v>
      </c>
      <c r="F57" s="1169" t="s">
        <v>1227</v>
      </c>
    </row>
    <row r="58" spans="1:6" s="98" customFormat="1" ht="30.75" customHeight="1" thickBot="1">
      <c r="A58" s="1102" t="s">
        <v>1414</v>
      </c>
      <c r="B58" s="1156"/>
      <c r="C58" s="1157" t="s">
        <v>708</v>
      </c>
      <c r="D58" s="1103">
        <f>D8+D9-D18-D57</f>
        <v>90731</v>
      </c>
      <c r="E58" s="1103">
        <f>E8+E9-E18-E57</f>
        <v>716.7199999988079</v>
      </c>
      <c r="F58" s="1158" t="s">
        <v>1227</v>
      </c>
    </row>
    <row r="59" spans="1:6" ht="18.75" customHeight="1" thickBot="1">
      <c r="A59" s="2160" t="s">
        <v>1418</v>
      </c>
      <c r="B59" s="2161"/>
      <c r="C59" s="2161"/>
      <c r="D59" s="1148">
        <f>D57+D58+D18</f>
        <v>6394335</v>
      </c>
      <c r="E59" s="1148">
        <f>E57+E58+E18</f>
        <v>6289443.97</v>
      </c>
      <c r="F59" s="1149">
        <f>E59/D59*100</f>
        <v>98.35962566865827</v>
      </c>
    </row>
    <row r="60" spans="3:5" ht="12.75" hidden="1">
      <c r="C60" s="604" t="s">
        <v>77</v>
      </c>
      <c r="D60" s="583">
        <f>D17-D59</f>
        <v>0</v>
      </c>
      <c r="E60" s="583">
        <f>E17-E59</f>
        <v>0</v>
      </c>
    </row>
  </sheetData>
  <sheetProtection password="CF53" sheet="1" formatRows="0" insertColumns="0" insertRows="0" insertHyperlinks="0" deleteColumns="0" deleteRows="0" sort="0" autoFilter="0" pivotTables="0"/>
  <mergeCells count="5">
    <mergeCell ref="A17:C17"/>
    <mergeCell ref="A59:C59"/>
    <mergeCell ref="A3:F3"/>
    <mergeCell ref="E1:F1"/>
    <mergeCell ref="A5:C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F41"/>
  <sheetViews>
    <sheetView view="pageBreakPreview" zoomScaleSheetLayoutView="100" zoomScalePageLayoutView="0" workbookViewId="0" topLeftCell="A1">
      <selection activeCell="I14" sqref="I14"/>
    </sheetView>
  </sheetViews>
  <sheetFormatPr defaultColWidth="9.00390625" defaultRowHeight="15.75" customHeight="1"/>
  <cols>
    <col min="1" max="1" width="4.875" style="100" customWidth="1"/>
    <col min="2" max="2" width="52.75390625" style="97" customWidth="1"/>
    <col min="3" max="4" width="11.75390625" style="97" customWidth="1"/>
    <col min="5" max="5" width="5.375" style="97" customWidth="1"/>
    <col min="6" max="16384" width="9.125" style="97" customWidth="1"/>
  </cols>
  <sheetData>
    <row r="1" spans="4:5" ht="15.75" customHeight="1">
      <c r="D1" s="1963" t="s">
        <v>1439</v>
      </c>
      <c r="E1" s="1963"/>
    </row>
    <row r="3" spans="1:5" ht="15.75" customHeight="1">
      <c r="A3" s="1967" t="s">
        <v>76</v>
      </c>
      <c r="B3" s="1967"/>
      <c r="C3" s="1967"/>
      <c r="D3" s="1967"/>
      <c r="E3" s="1967"/>
    </row>
    <row r="4" ht="17.25" customHeight="1"/>
    <row r="5" spans="1:5" ht="12.75" customHeight="1" thickBot="1">
      <c r="A5" s="2162" t="s">
        <v>1750</v>
      </c>
      <c r="B5" s="2162"/>
      <c r="E5" s="604" t="s">
        <v>208</v>
      </c>
    </row>
    <row r="6" spans="1:5" s="96" customFormat="1" ht="15.75" customHeight="1">
      <c r="A6" s="1490" t="s">
        <v>1219</v>
      </c>
      <c r="B6" s="617" t="s">
        <v>210</v>
      </c>
      <c r="C6" s="617" t="s">
        <v>211</v>
      </c>
      <c r="D6" s="617" t="s">
        <v>212</v>
      </c>
      <c r="E6" s="1491" t="s">
        <v>213</v>
      </c>
    </row>
    <row r="7" spans="1:5" s="98" customFormat="1" ht="10.5" customHeight="1" thickBot="1">
      <c r="A7" s="1492">
        <v>1</v>
      </c>
      <c r="B7" s="1493">
        <v>2</v>
      </c>
      <c r="C7" s="1493">
        <v>3</v>
      </c>
      <c r="D7" s="1493">
        <v>4</v>
      </c>
      <c r="E7" s="1494">
        <v>5</v>
      </c>
    </row>
    <row r="8" spans="1:5" s="98" customFormat="1" ht="19.5" customHeight="1">
      <c r="A8" s="575" t="s">
        <v>816</v>
      </c>
      <c r="B8" s="1506" t="s">
        <v>1231</v>
      </c>
      <c r="C8" s="1507">
        <v>152617</v>
      </c>
      <c r="D8" s="1507">
        <v>152616.29</v>
      </c>
      <c r="E8" s="1162" t="s">
        <v>1227</v>
      </c>
    </row>
    <row r="9" spans="1:5" ht="19.5" customHeight="1">
      <c r="A9" s="1508" t="s">
        <v>817</v>
      </c>
      <c r="B9" s="1509" t="s">
        <v>1211</v>
      </c>
      <c r="C9" s="1510">
        <f>SUM(C10,C14,C15,C16)</f>
        <v>3139608</v>
      </c>
      <c r="D9" s="1510">
        <f>SUM(D10,D14,D15,D16)</f>
        <v>2982706.38</v>
      </c>
      <c r="E9" s="1144">
        <f aca="true" t="shared" si="0" ref="E9:E16">D9/C9*100</f>
        <v>95.0025092304517</v>
      </c>
    </row>
    <row r="10" spans="1:5" ht="19.5" customHeight="1">
      <c r="A10" s="1499" t="s">
        <v>1222</v>
      </c>
      <c r="B10" s="1153" t="s">
        <v>1240</v>
      </c>
      <c r="C10" s="1501">
        <f>SUM(C11:C13)</f>
        <v>2286178</v>
      </c>
      <c r="D10" s="1501">
        <f>SUM(D11:D13)</f>
        <v>2124636.76</v>
      </c>
      <c r="E10" s="1145">
        <f t="shared" si="0"/>
        <v>92.93400426388494</v>
      </c>
    </row>
    <row r="11" spans="1:5" s="102" customFormat="1" ht="19.5" customHeight="1">
      <c r="A11" s="1495" t="s">
        <v>47</v>
      </c>
      <c r="B11" s="1496" t="s">
        <v>1241</v>
      </c>
      <c r="C11" s="1497">
        <v>1773678</v>
      </c>
      <c r="D11" s="1497">
        <v>1773678</v>
      </c>
      <c r="E11" s="1498">
        <f t="shared" si="0"/>
        <v>100</v>
      </c>
    </row>
    <row r="12" spans="1:5" s="102" customFormat="1" ht="19.5" customHeight="1">
      <c r="A12" s="1495" t="s">
        <v>48</v>
      </c>
      <c r="B12" s="1496" t="s">
        <v>782</v>
      </c>
      <c r="C12" s="1497">
        <v>351000</v>
      </c>
      <c r="D12" s="1497">
        <v>350958.76</v>
      </c>
      <c r="E12" s="1498">
        <f t="shared" si="0"/>
        <v>99.98825071225072</v>
      </c>
    </row>
    <row r="13" spans="1:5" s="102" customFormat="1" ht="19.5" customHeight="1">
      <c r="A13" s="1495" t="s">
        <v>49</v>
      </c>
      <c r="B13" s="1496" t="s">
        <v>602</v>
      </c>
      <c r="C13" s="1497">
        <v>161500</v>
      </c>
      <c r="D13" s="1497">
        <v>0</v>
      </c>
      <c r="E13" s="1498">
        <f>D13/C13*100</f>
        <v>0</v>
      </c>
    </row>
    <row r="14" spans="1:6" ht="19.5" customHeight="1">
      <c r="A14" s="1499" t="s">
        <v>1223</v>
      </c>
      <c r="B14" s="1153" t="s">
        <v>937</v>
      </c>
      <c r="C14" s="1501">
        <v>811450</v>
      </c>
      <c r="D14" s="1501">
        <v>816090.41</v>
      </c>
      <c r="E14" s="1145">
        <f t="shared" si="0"/>
        <v>100.57186641197855</v>
      </c>
      <c r="F14" s="1175"/>
    </row>
    <row r="15" spans="1:6" ht="19.5" customHeight="1" thickBot="1">
      <c r="A15" s="1499" t="s">
        <v>1548</v>
      </c>
      <c r="B15" s="1500" t="s">
        <v>1283</v>
      </c>
      <c r="C15" s="1501">
        <v>41980</v>
      </c>
      <c r="D15" s="1501">
        <v>41979.21</v>
      </c>
      <c r="E15" s="1145">
        <f t="shared" si="0"/>
        <v>99.99811815150072</v>
      </c>
      <c r="F15" s="1175"/>
    </row>
    <row r="16" spans="1:5" ht="19.5" customHeight="1" hidden="1" thickBot="1">
      <c r="A16" s="1502" t="s">
        <v>1555</v>
      </c>
      <c r="B16" s="1503" t="s">
        <v>155</v>
      </c>
      <c r="C16" s="1504">
        <v>0</v>
      </c>
      <c r="D16" s="1504">
        <v>0</v>
      </c>
      <c r="E16" s="1505" t="e">
        <f t="shared" si="0"/>
        <v>#DIV/0!</v>
      </c>
    </row>
    <row r="17" spans="1:5" s="98" customFormat="1" ht="19.5" customHeight="1" thickBot="1">
      <c r="A17" s="2160" t="s">
        <v>821</v>
      </c>
      <c r="B17" s="2161"/>
      <c r="C17" s="1511">
        <f>SUM(C8,C9)</f>
        <v>3292225</v>
      </c>
      <c r="D17" s="1511">
        <f>SUM(D8,D9)</f>
        <v>3135322.67</v>
      </c>
      <c r="E17" s="1149">
        <f aca="true" t="shared" si="1" ref="E17:E31">D17/C17*100</f>
        <v>95.23415532048995</v>
      </c>
    </row>
    <row r="18" spans="1:5" s="98" customFormat="1" ht="19.5" customHeight="1">
      <c r="A18" s="575" t="s">
        <v>823</v>
      </c>
      <c r="B18" s="1512" t="s">
        <v>1281</v>
      </c>
      <c r="C18" s="1507">
        <f>SUM(C19,C20,C21,C22,C23,C24,C25,C26,C27,C28,C29,C30,C31)</f>
        <v>3200673</v>
      </c>
      <c r="D18" s="1507">
        <f>SUM(D19,D20,D21,D22,D23,D24,D25,D26,D27,D28,D29,D30,D31)</f>
        <v>3030769.3100000005</v>
      </c>
      <c r="E18" s="1155">
        <f t="shared" si="1"/>
        <v>94.69162610488483</v>
      </c>
    </row>
    <row r="19" spans="1:5" ht="19.5" customHeight="1">
      <c r="A19" s="1499" t="s">
        <v>1222</v>
      </c>
      <c r="B19" s="1159" t="s">
        <v>826</v>
      </c>
      <c r="C19" s="1501">
        <v>1245430</v>
      </c>
      <c r="D19" s="1501">
        <v>1245197.84</v>
      </c>
      <c r="E19" s="1145">
        <f t="shared" si="1"/>
        <v>99.98135904868198</v>
      </c>
    </row>
    <row r="20" spans="1:5" ht="19.5" customHeight="1">
      <c r="A20" s="1499" t="s">
        <v>1223</v>
      </c>
      <c r="B20" s="1159" t="s">
        <v>747</v>
      </c>
      <c r="C20" s="1501">
        <v>224880</v>
      </c>
      <c r="D20" s="1501">
        <v>224618.09</v>
      </c>
      <c r="E20" s="1145">
        <f t="shared" si="1"/>
        <v>99.88353344005691</v>
      </c>
    </row>
    <row r="21" spans="1:5" ht="19.5" customHeight="1">
      <c r="A21" s="1499" t="s">
        <v>1548</v>
      </c>
      <c r="B21" s="1159" t="s">
        <v>1628</v>
      </c>
      <c r="C21" s="1501">
        <v>36662</v>
      </c>
      <c r="D21" s="1501">
        <v>36661.39</v>
      </c>
      <c r="E21" s="1145">
        <f t="shared" si="1"/>
        <v>99.99833615187387</v>
      </c>
    </row>
    <row r="22" spans="1:5" ht="19.5" customHeight="1">
      <c r="A22" s="1499" t="s">
        <v>1555</v>
      </c>
      <c r="B22" s="1159" t="s">
        <v>1611</v>
      </c>
      <c r="C22" s="1501">
        <v>92630</v>
      </c>
      <c r="D22" s="1501">
        <v>89678.04</v>
      </c>
      <c r="E22" s="1145">
        <f t="shared" si="1"/>
        <v>96.81317067904565</v>
      </c>
    </row>
    <row r="23" spans="1:5" ht="19.5" customHeight="1">
      <c r="A23" s="1499" t="s">
        <v>1556</v>
      </c>
      <c r="B23" s="1159" t="s">
        <v>1612</v>
      </c>
      <c r="C23" s="1501">
        <v>375100</v>
      </c>
      <c r="D23" s="1501">
        <v>373111.31</v>
      </c>
      <c r="E23" s="1145">
        <f t="shared" si="1"/>
        <v>99.46982404692082</v>
      </c>
    </row>
    <row r="24" spans="1:5" ht="19.5" customHeight="1">
      <c r="A24" s="1499" t="s">
        <v>1557</v>
      </c>
      <c r="B24" s="1159" t="s">
        <v>1228</v>
      </c>
      <c r="C24" s="1501">
        <v>36900</v>
      </c>
      <c r="D24" s="1501">
        <v>36845.6</v>
      </c>
      <c r="E24" s="1145">
        <f t="shared" si="1"/>
        <v>99.85257452574525</v>
      </c>
    </row>
    <row r="25" spans="1:5" ht="19.5" customHeight="1">
      <c r="A25" s="1499" t="s">
        <v>329</v>
      </c>
      <c r="B25" s="1159" t="s">
        <v>938</v>
      </c>
      <c r="C25" s="1501">
        <v>105980</v>
      </c>
      <c r="D25" s="1501">
        <v>105259.46</v>
      </c>
      <c r="E25" s="1145">
        <f t="shared" si="1"/>
        <v>99.32011700320817</v>
      </c>
    </row>
    <row r="26" spans="1:5" ht="19.5" customHeight="1">
      <c r="A26" s="1499" t="s">
        <v>330</v>
      </c>
      <c r="B26" s="1159" t="s">
        <v>1626</v>
      </c>
      <c r="C26" s="1501">
        <v>2300</v>
      </c>
      <c r="D26" s="1501">
        <v>2038.73</v>
      </c>
      <c r="E26" s="1145">
        <f t="shared" si="1"/>
        <v>88.64043478260871</v>
      </c>
    </row>
    <row r="27" spans="1:5" ht="19.5" customHeight="1">
      <c r="A27" s="1499" t="s">
        <v>1558</v>
      </c>
      <c r="B27" s="1159" t="s">
        <v>1627</v>
      </c>
      <c r="C27" s="1501">
        <v>114061</v>
      </c>
      <c r="D27" s="1501">
        <v>113931.09</v>
      </c>
      <c r="E27" s="1145">
        <f t="shared" si="1"/>
        <v>99.88610480357002</v>
      </c>
    </row>
    <row r="28" spans="1:5" ht="19.5" customHeight="1">
      <c r="A28" s="1499" t="s">
        <v>1560</v>
      </c>
      <c r="B28" s="1159" t="s">
        <v>1229</v>
      </c>
      <c r="C28" s="1501">
        <v>161500</v>
      </c>
      <c r="D28" s="1501">
        <v>0</v>
      </c>
      <c r="E28" s="1145">
        <f t="shared" si="1"/>
        <v>0</v>
      </c>
    </row>
    <row r="29" spans="1:5" ht="19.5" customHeight="1">
      <c r="A29" s="1499" t="s">
        <v>331</v>
      </c>
      <c r="B29" s="1159" t="s">
        <v>1587</v>
      </c>
      <c r="C29" s="1501">
        <v>408300</v>
      </c>
      <c r="D29" s="1501">
        <v>406551.2</v>
      </c>
      <c r="E29" s="1145">
        <f t="shared" si="1"/>
        <v>99.57168748469263</v>
      </c>
    </row>
    <row r="30" spans="1:5" ht="19.5" customHeight="1">
      <c r="A30" s="1499" t="s">
        <v>1561</v>
      </c>
      <c r="B30" s="1159" t="s">
        <v>157</v>
      </c>
      <c r="C30" s="1501">
        <v>392980</v>
      </c>
      <c r="D30" s="1501">
        <v>392937.97</v>
      </c>
      <c r="E30" s="1145">
        <f t="shared" si="1"/>
        <v>99.98930479922642</v>
      </c>
    </row>
    <row r="31" spans="1:5" ht="19.5" customHeight="1">
      <c r="A31" s="587" t="s">
        <v>1562</v>
      </c>
      <c r="B31" s="1513" t="s">
        <v>156</v>
      </c>
      <c r="C31" s="1514">
        <v>3950</v>
      </c>
      <c r="D31" s="1514">
        <v>3938.59</v>
      </c>
      <c r="E31" s="1111">
        <f t="shared" si="1"/>
        <v>99.71113924050633</v>
      </c>
    </row>
    <row r="32" spans="1:5" s="98" customFormat="1" ht="19.5" customHeight="1" thickBot="1">
      <c r="A32" s="1170" t="s">
        <v>1639</v>
      </c>
      <c r="B32" s="1515" t="s">
        <v>1230</v>
      </c>
      <c r="C32" s="1516">
        <f>C8+C9-C18</f>
        <v>91552</v>
      </c>
      <c r="D32" s="1516">
        <f>D8+D9-D18</f>
        <v>104553.3599999994</v>
      </c>
      <c r="E32" s="1174" t="s">
        <v>1227</v>
      </c>
    </row>
    <row r="33" spans="1:5" s="98" customFormat="1" ht="20.25" customHeight="1" thickBot="1">
      <c r="A33" s="2160" t="s">
        <v>1640</v>
      </c>
      <c r="B33" s="2163"/>
      <c r="C33" s="1511">
        <f>SUM(C18,C32)</f>
        <v>3292225</v>
      </c>
      <c r="D33" s="1511">
        <f>SUM(D18,D32)</f>
        <v>3135322.67</v>
      </c>
      <c r="E33" s="1517">
        <f>D33/C33*100</f>
        <v>95.23415532048995</v>
      </c>
    </row>
    <row r="34" spans="2:4" ht="15.75" customHeight="1" hidden="1">
      <c r="B34" s="604" t="s">
        <v>77</v>
      </c>
      <c r="C34" s="607">
        <f>C17-C33</f>
        <v>0</v>
      </c>
      <c r="D34" s="607">
        <f>D17-D33</f>
        <v>0</v>
      </c>
    </row>
    <row r="35" spans="3:4" ht="15.75" customHeight="1">
      <c r="C35" s="604"/>
      <c r="D35" s="604"/>
    </row>
    <row r="36" spans="3:4" ht="15.75" customHeight="1">
      <c r="C36" s="604"/>
      <c r="D36" s="604"/>
    </row>
    <row r="37" spans="3:4" ht="15.75" customHeight="1">
      <c r="C37" s="604"/>
      <c r="D37" s="604"/>
    </row>
    <row r="38" spans="3:4" ht="15.75" customHeight="1">
      <c r="C38" s="604"/>
      <c r="D38" s="604"/>
    </row>
    <row r="39" spans="3:4" ht="15.75" customHeight="1">
      <c r="C39" s="604"/>
      <c r="D39" s="604"/>
    </row>
    <row r="40" spans="3:4" ht="15.75" customHeight="1">
      <c r="C40" s="604"/>
      <c r="D40" s="604"/>
    </row>
    <row r="41" spans="3:4" ht="15.75" customHeight="1">
      <c r="C41" s="604"/>
      <c r="D41" s="604"/>
    </row>
  </sheetData>
  <sheetProtection password="CF53" sheet="1" formatRows="0" insertColumns="0" insertRows="0" insertHyperlinks="0" deleteColumns="0" deleteRows="0" sort="0" autoFilter="0" pivotTables="0"/>
  <mergeCells count="5">
    <mergeCell ref="A3:E3"/>
    <mergeCell ref="A17:B17"/>
    <mergeCell ref="A33:B33"/>
    <mergeCell ref="D1:E1"/>
    <mergeCell ref="A5:B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E39"/>
  <sheetViews>
    <sheetView view="pageBreakPreview" zoomScaleSheetLayoutView="100" zoomScalePageLayoutView="0" workbookViewId="0" topLeftCell="A1">
      <selection activeCell="G9" sqref="G9"/>
    </sheetView>
  </sheetViews>
  <sheetFormatPr defaultColWidth="9.00390625" defaultRowHeight="12.75"/>
  <cols>
    <col min="1" max="1" width="4.875" style="368" customWidth="1"/>
    <col min="2" max="2" width="51.625" style="357" customWidth="1"/>
    <col min="3" max="3" width="12.625" style="565" customWidth="1"/>
    <col min="4" max="4" width="11.625" style="565" customWidth="1"/>
    <col min="5" max="5" width="6.375" style="566" customWidth="1"/>
    <col min="6" max="16384" width="9.125" style="357" customWidth="1"/>
  </cols>
  <sheetData>
    <row r="1" spans="1:5" s="97" customFormat="1" ht="12.75">
      <c r="A1" s="100"/>
      <c r="C1" s="1526"/>
      <c r="D1" s="1963" t="s">
        <v>1438</v>
      </c>
      <c r="E1" s="1963"/>
    </row>
    <row r="2" spans="1:5" s="97" customFormat="1" ht="12.75">
      <c r="A2" s="100"/>
      <c r="C2" s="1526"/>
      <c r="D2" s="1526"/>
      <c r="E2" s="1527"/>
    </row>
    <row r="3" spans="1:5" s="97" customFormat="1" ht="12.75">
      <c r="A3" s="1967" t="s">
        <v>400</v>
      </c>
      <c r="B3" s="1967"/>
      <c r="C3" s="1967"/>
      <c r="D3" s="1967"/>
      <c r="E3" s="1967"/>
    </row>
    <row r="4" spans="1:5" s="97" customFormat="1" ht="12.75">
      <c r="A4" s="100"/>
      <c r="C4" s="1526"/>
      <c r="D4" s="1526"/>
      <c r="E4" s="1527"/>
    </row>
    <row r="5" spans="1:5" s="97" customFormat="1" ht="13.5" thickBot="1">
      <c r="A5" s="2162" t="s">
        <v>581</v>
      </c>
      <c r="B5" s="2162"/>
      <c r="C5" s="1526"/>
      <c r="D5" s="1526"/>
      <c r="E5" s="1527" t="s">
        <v>208</v>
      </c>
    </row>
    <row r="6" spans="1:5" s="614" customFormat="1" ht="18" customHeight="1">
      <c r="A6" s="1490" t="s">
        <v>1219</v>
      </c>
      <c r="B6" s="617" t="s">
        <v>210</v>
      </c>
      <c r="C6" s="1528" t="s">
        <v>211</v>
      </c>
      <c r="D6" s="1528" t="s">
        <v>212</v>
      </c>
      <c r="E6" s="1491" t="s">
        <v>213</v>
      </c>
    </row>
    <row r="7" spans="1:5" s="614" customFormat="1" ht="10.5" customHeight="1" thickBot="1">
      <c r="A7" s="1529">
        <v>1</v>
      </c>
      <c r="B7" s="1530">
        <v>2</v>
      </c>
      <c r="C7" s="1531">
        <v>3</v>
      </c>
      <c r="D7" s="1531">
        <v>4</v>
      </c>
      <c r="E7" s="1532">
        <v>5</v>
      </c>
    </row>
    <row r="8" spans="1:5" s="614" customFormat="1" ht="18" customHeight="1">
      <c r="A8" s="575" t="s">
        <v>816</v>
      </c>
      <c r="B8" s="1506" t="s">
        <v>1231</v>
      </c>
      <c r="C8" s="1916">
        <v>35389</v>
      </c>
      <c r="D8" s="1916">
        <v>35388.05</v>
      </c>
      <c r="E8" s="1162" t="s">
        <v>1227</v>
      </c>
    </row>
    <row r="9" spans="1:5" s="1129" customFormat="1" ht="18" customHeight="1">
      <c r="A9" s="1160" t="s">
        <v>817</v>
      </c>
      <c r="B9" s="1536" t="s">
        <v>1211</v>
      </c>
      <c r="C9" s="1537">
        <f>SUM(C10,C13,C16,C17,C18)</f>
        <v>1874535</v>
      </c>
      <c r="D9" s="1537">
        <f>SUM(D10,D13,D16,D17,D18)</f>
        <v>1874395.38</v>
      </c>
      <c r="E9" s="1538">
        <f aca="true" t="shared" si="0" ref="E9:E36">D9/C9*100</f>
        <v>99.9925517528347</v>
      </c>
    </row>
    <row r="10" spans="1:5" s="1175" customFormat="1" ht="18" customHeight="1">
      <c r="A10" s="1499" t="s">
        <v>1222</v>
      </c>
      <c r="B10" s="1153" t="s">
        <v>937</v>
      </c>
      <c r="C10" s="1501">
        <f>SUM(C11,C12)</f>
        <v>53200</v>
      </c>
      <c r="D10" s="1501">
        <f>SUM(D11,D12)</f>
        <v>53060.380000000005</v>
      </c>
      <c r="E10" s="1518">
        <f t="shared" si="0"/>
        <v>99.73755639097746</v>
      </c>
    </row>
    <row r="11" spans="1:5" s="1535" customFormat="1" ht="18" customHeight="1">
      <c r="A11" s="1495" t="s">
        <v>47</v>
      </c>
      <c r="B11" s="1533" t="s">
        <v>378</v>
      </c>
      <c r="C11" s="1497">
        <v>26400</v>
      </c>
      <c r="D11" s="1497">
        <v>26322.4</v>
      </c>
      <c r="E11" s="1518">
        <f t="shared" si="0"/>
        <v>99.7060606060606</v>
      </c>
    </row>
    <row r="12" spans="1:5" s="1535" customFormat="1" ht="18" customHeight="1">
      <c r="A12" s="1495" t="s">
        <v>48</v>
      </c>
      <c r="B12" s="1533" t="s">
        <v>1559</v>
      </c>
      <c r="C12" s="1497">
        <v>26800</v>
      </c>
      <c r="D12" s="1497">
        <v>26737.98</v>
      </c>
      <c r="E12" s="1518">
        <f t="shared" si="0"/>
        <v>99.76858208955224</v>
      </c>
    </row>
    <row r="13" spans="1:5" s="1175" customFormat="1" ht="18" customHeight="1">
      <c r="A13" s="1499" t="s">
        <v>1223</v>
      </c>
      <c r="B13" s="1159" t="s">
        <v>1240</v>
      </c>
      <c r="C13" s="1501">
        <f>SUM(C14,C15)</f>
        <v>1348605</v>
      </c>
      <c r="D13" s="1501">
        <f>SUM(D14,D15)</f>
        <v>1348605</v>
      </c>
      <c r="E13" s="1518">
        <f t="shared" si="0"/>
        <v>100</v>
      </c>
    </row>
    <row r="14" spans="1:5" s="1535" customFormat="1" ht="18" customHeight="1">
      <c r="A14" s="1495" t="s">
        <v>50</v>
      </c>
      <c r="B14" s="1533" t="s">
        <v>1241</v>
      </c>
      <c r="C14" s="1497">
        <v>1348605</v>
      </c>
      <c r="D14" s="1497">
        <v>1348605</v>
      </c>
      <c r="E14" s="1518">
        <f t="shared" si="0"/>
        <v>100</v>
      </c>
    </row>
    <row r="15" spans="1:5" s="1535" customFormat="1" ht="18" customHeight="1" hidden="1">
      <c r="A15" s="1495" t="s">
        <v>51</v>
      </c>
      <c r="B15" s="1533" t="s">
        <v>381</v>
      </c>
      <c r="C15" s="1497">
        <v>0</v>
      </c>
      <c r="D15" s="1497">
        <v>0</v>
      </c>
      <c r="E15" s="1534" t="e">
        <f t="shared" si="0"/>
        <v>#DIV/0!</v>
      </c>
    </row>
    <row r="16" spans="1:5" s="1544" customFormat="1" ht="18" customHeight="1">
      <c r="A16" s="1540" t="s">
        <v>1548</v>
      </c>
      <c r="B16" s="1541" t="s">
        <v>778</v>
      </c>
      <c r="C16" s="1542">
        <v>125000</v>
      </c>
      <c r="D16" s="1542">
        <v>125000</v>
      </c>
      <c r="E16" s="1543">
        <f t="shared" si="0"/>
        <v>100</v>
      </c>
    </row>
    <row r="17" spans="1:5" s="1544" customFormat="1" ht="28.5" customHeight="1">
      <c r="A17" s="1540" t="s">
        <v>1555</v>
      </c>
      <c r="B17" s="1545" t="s">
        <v>1284</v>
      </c>
      <c r="C17" s="1542">
        <v>19430</v>
      </c>
      <c r="D17" s="1542">
        <v>19430</v>
      </c>
      <c r="E17" s="1543">
        <f t="shared" si="0"/>
        <v>100</v>
      </c>
    </row>
    <row r="18" spans="1:5" s="1544" customFormat="1" ht="18.75" customHeight="1">
      <c r="A18" s="1540" t="s">
        <v>1556</v>
      </c>
      <c r="B18" s="1678" t="s">
        <v>781</v>
      </c>
      <c r="C18" s="1501">
        <f>SUM(C19,C20)</f>
        <v>328300</v>
      </c>
      <c r="D18" s="1501">
        <f>SUM(D19,D20)</f>
        <v>328300</v>
      </c>
      <c r="E18" s="1518">
        <f>D18/C18*100</f>
        <v>100</v>
      </c>
    </row>
    <row r="19" spans="1:5" s="1544" customFormat="1" ht="18.75" customHeight="1">
      <c r="A19" s="1495" t="s">
        <v>730</v>
      </c>
      <c r="B19" s="1533" t="s">
        <v>779</v>
      </c>
      <c r="C19" s="1497">
        <v>49200</v>
      </c>
      <c r="D19" s="1497">
        <v>49200</v>
      </c>
      <c r="E19" s="1518">
        <f>D19/C19*100</f>
        <v>100</v>
      </c>
    </row>
    <row r="20" spans="1:5" s="1544" customFormat="1" ht="18" customHeight="1" thickBot="1">
      <c r="A20" s="1495" t="s">
        <v>731</v>
      </c>
      <c r="B20" s="1533" t="s">
        <v>780</v>
      </c>
      <c r="C20" s="1497">
        <v>279100</v>
      </c>
      <c r="D20" s="1497">
        <v>279100</v>
      </c>
      <c r="E20" s="1518">
        <f>D20/C20*100</f>
        <v>100</v>
      </c>
    </row>
    <row r="21" spans="1:5" s="1129" customFormat="1" ht="18" customHeight="1" thickBot="1">
      <c r="A21" s="2157" t="s">
        <v>821</v>
      </c>
      <c r="B21" s="2158"/>
      <c r="C21" s="1511">
        <f>SUM(C8,C9)</f>
        <v>1909924</v>
      </c>
      <c r="D21" s="1511">
        <f>SUM(D8,D9)</f>
        <v>1909783.43</v>
      </c>
      <c r="E21" s="1539">
        <f t="shared" si="0"/>
        <v>99.99264002127833</v>
      </c>
    </row>
    <row r="22" spans="1:5" s="1129" customFormat="1" ht="18" customHeight="1">
      <c r="A22" s="575" t="s">
        <v>823</v>
      </c>
      <c r="B22" s="1512" t="s">
        <v>1281</v>
      </c>
      <c r="C22" s="1507">
        <f>SUM(C23,C24,C25,C26,C27,C30,C31,C32,C33,C34,C35,C36)</f>
        <v>1900693</v>
      </c>
      <c r="D22" s="1507">
        <f>SUM(D23,D24,D25,D26,D27,D30,D31,D32,D33,D34,D35,D36)</f>
        <v>1900181.8399999999</v>
      </c>
      <c r="E22" s="577">
        <f t="shared" si="0"/>
        <v>99.97310665110041</v>
      </c>
    </row>
    <row r="23" spans="1:5" s="1175" customFormat="1" ht="18" customHeight="1">
      <c r="A23" s="1499" t="s">
        <v>1222</v>
      </c>
      <c r="B23" s="1153" t="s">
        <v>62</v>
      </c>
      <c r="C23" s="1501">
        <v>111748</v>
      </c>
      <c r="D23" s="1501">
        <v>111696.31</v>
      </c>
      <c r="E23" s="1518">
        <f t="shared" si="0"/>
        <v>99.95374413859756</v>
      </c>
    </row>
    <row r="24" spans="1:5" s="97" customFormat="1" ht="18" customHeight="1">
      <c r="A24" s="1499" t="s">
        <v>1223</v>
      </c>
      <c r="B24" s="1159" t="s">
        <v>1774</v>
      </c>
      <c r="C24" s="1501">
        <v>33000</v>
      </c>
      <c r="D24" s="1501">
        <v>32946.06</v>
      </c>
      <c r="E24" s="1518">
        <f t="shared" si="0"/>
        <v>99.83654545454544</v>
      </c>
    </row>
    <row r="25" spans="1:5" s="97" customFormat="1" ht="18" customHeight="1">
      <c r="A25" s="1499" t="s">
        <v>1548</v>
      </c>
      <c r="B25" s="1159" t="s">
        <v>746</v>
      </c>
      <c r="C25" s="1501">
        <v>110010</v>
      </c>
      <c r="D25" s="1501">
        <v>110009.29</v>
      </c>
      <c r="E25" s="1518">
        <f t="shared" si="0"/>
        <v>99.99935460412689</v>
      </c>
    </row>
    <row r="26" spans="1:5" s="97" customFormat="1" ht="18" customHeight="1">
      <c r="A26" s="1499" t="s">
        <v>1555</v>
      </c>
      <c r="B26" s="1159" t="s">
        <v>165</v>
      </c>
      <c r="C26" s="1501">
        <v>256200</v>
      </c>
      <c r="D26" s="1501">
        <v>256172.4</v>
      </c>
      <c r="E26" s="1518">
        <f t="shared" si="0"/>
        <v>99.98922716627634</v>
      </c>
    </row>
    <row r="27" spans="1:5" s="97" customFormat="1" ht="18" customHeight="1">
      <c r="A27" s="1499" t="s">
        <v>1556</v>
      </c>
      <c r="B27" s="1159" t="s">
        <v>63</v>
      </c>
      <c r="C27" s="1501">
        <v>794500</v>
      </c>
      <c r="D27" s="1501">
        <v>794416.73</v>
      </c>
      <c r="E27" s="1518">
        <f t="shared" si="0"/>
        <v>99.98951919446193</v>
      </c>
    </row>
    <row r="28" spans="1:5" s="102" customFormat="1" ht="18" customHeight="1">
      <c r="A28" s="1495" t="s">
        <v>730</v>
      </c>
      <c r="B28" s="1533" t="s">
        <v>379</v>
      </c>
      <c r="C28" s="1497">
        <v>750300</v>
      </c>
      <c r="D28" s="1497">
        <v>750216.73</v>
      </c>
      <c r="E28" s="1534">
        <f t="shared" si="0"/>
        <v>99.98890177262429</v>
      </c>
    </row>
    <row r="29" spans="1:5" s="102" customFormat="1" ht="18" customHeight="1">
      <c r="A29" s="1495" t="s">
        <v>731</v>
      </c>
      <c r="B29" s="1533" t="s">
        <v>380</v>
      </c>
      <c r="C29" s="1497">
        <v>44200</v>
      </c>
      <c r="D29" s="1497">
        <v>44200</v>
      </c>
      <c r="E29" s="1534">
        <f t="shared" si="0"/>
        <v>100</v>
      </c>
    </row>
    <row r="30" spans="1:5" s="97" customFormat="1" ht="18" customHeight="1">
      <c r="A30" s="1499" t="s">
        <v>1557</v>
      </c>
      <c r="B30" s="1159" t="s">
        <v>747</v>
      </c>
      <c r="C30" s="1501">
        <v>136525</v>
      </c>
      <c r="D30" s="1501">
        <v>136449.97</v>
      </c>
      <c r="E30" s="1518">
        <f t="shared" si="0"/>
        <v>99.94504303241165</v>
      </c>
    </row>
    <row r="31" spans="1:5" s="97" customFormat="1" ht="18" customHeight="1">
      <c r="A31" s="1499" t="s">
        <v>329</v>
      </c>
      <c r="B31" s="1159" t="s">
        <v>64</v>
      </c>
      <c r="C31" s="1501">
        <v>1530</v>
      </c>
      <c r="D31" s="1501">
        <v>1524.5</v>
      </c>
      <c r="E31" s="1518">
        <f t="shared" si="0"/>
        <v>99.640522875817</v>
      </c>
    </row>
    <row r="32" spans="1:5" s="97" customFormat="1" ht="18" customHeight="1">
      <c r="A32" s="1499" t="s">
        <v>330</v>
      </c>
      <c r="B32" s="1159" t="s">
        <v>1451</v>
      </c>
      <c r="C32" s="1501">
        <v>22050</v>
      </c>
      <c r="D32" s="1501">
        <v>22037.67</v>
      </c>
      <c r="E32" s="1518">
        <f t="shared" si="0"/>
        <v>99.94408163265305</v>
      </c>
    </row>
    <row r="33" spans="1:5" s="97" customFormat="1" ht="18.75" customHeight="1">
      <c r="A33" s="1499" t="s">
        <v>1558</v>
      </c>
      <c r="B33" s="1159" t="s">
        <v>1628</v>
      </c>
      <c r="C33" s="1501">
        <v>22900</v>
      </c>
      <c r="D33" s="1501">
        <v>22859.48</v>
      </c>
      <c r="E33" s="1518">
        <f t="shared" si="0"/>
        <v>99.82305676855894</v>
      </c>
    </row>
    <row r="34" spans="1:5" s="97" customFormat="1" ht="18.75" customHeight="1">
      <c r="A34" s="1499" t="s">
        <v>1560</v>
      </c>
      <c r="B34" s="1159" t="s">
        <v>166</v>
      </c>
      <c r="C34" s="1501">
        <v>2000</v>
      </c>
      <c r="D34" s="1501">
        <v>1839.43</v>
      </c>
      <c r="E34" s="1518">
        <f t="shared" si="0"/>
        <v>91.9715</v>
      </c>
    </row>
    <row r="35" spans="1:5" s="97" customFormat="1" ht="18.75" customHeight="1">
      <c r="A35" s="1499" t="s">
        <v>331</v>
      </c>
      <c r="B35" s="1159" t="s">
        <v>1761</v>
      </c>
      <c r="C35" s="1501">
        <v>6130</v>
      </c>
      <c r="D35" s="1501">
        <v>6130</v>
      </c>
      <c r="E35" s="1518">
        <f t="shared" si="0"/>
        <v>100</v>
      </c>
    </row>
    <row r="36" spans="1:5" s="97" customFormat="1" ht="20.25" customHeight="1">
      <c r="A36" s="578" t="s">
        <v>1561</v>
      </c>
      <c r="B36" s="588" t="s">
        <v>1229</v>
      </c>
      <c r="C36" s="1514">
        <v>404100</v>
      </c>
      <c r="D36" s="1514">
        <v>404100</v>
      </c>
      <c r="E36" s="1522">
        <f t="shared" si="0"/>
        <v>100</v>
      </c>
    </row>
    <row r="37" spans="1:5" s="1550" customFormat="1" ht="18" customHeight="1" thickBot="1">
      <c r="A37" s="1546" t="s">
        <v>1639</v>
      </c>
      <c r="B37" s="1547" t="s">
        <v>1230</v>
      </c>
      <c r="C37" s="1548">
        <f>C8+C9-C22</f>
        <v>9231</v>
      </c>
      <c r="D37" s="1548">
        <f>D8+D9-D22</f>
        <v>9601.590000000084</v>
      </c>
      <c r="E37" s="1549" t="s">
        <v>1227</v>
      </c>
    </row>
    <row r="38" spans="1:5" s="1136" customFormat="1" ht="18" customHeight="1" thickBot="1">
      <c r="A38" s="2164" t="s">
        <v>1640</v>
      </c>
      <c r="B38" s="2165"/>
      <c r="C38" s="1551">
        <f>C22+C37</f>
        <v>1909924</v>
      </c>
      <c r="D38" s="1551">
        <f>D22+D37</f>
        <v>1909783.43</v>
      </c>
      <c r="E38" s="1552">
        <f>D38/C38*100</f>
        <v>99.99264002127833</v>
      </c>
    </row>
    <row r="39" spans="2:4" ht="12.75" hidden="1">
      <c r="B39" s="362" t="s">
        <v>77</v>
      </c>
      <c r="C39" s="565">
        <f>C21-C38</f>
        <v>0</v>
      </c>
      <c r="D39" s="565">
        <f>D21-D38</f>
        <v>0</v>
      </c>
    </row>
  </sheetData>
  <sheetProtection password="CF53" sheet="1" formatRows="0" insertColumns="0" insertRows="0" insertHyperlinks="0" deleteColumns="0" deleteRows="0" sort="0" autoFilter="0" pivotTables="0"/>
  <mergeCells count="5">
    <mergeCell ref="A3:E3"/>
    <mergeCell ref="A21:B21"/>
    <mergeCell ref="A38:B38"/>
    <mergeCell ref="D1:E1"/>
    <mergeCell ref="A5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E44"/>
  <sheetViews>
    <sheetView view="pageBreakPreview" zoomScaleSheetLayoutView="100" zoomScalePageLayoutView="0" workbookViewId="0" topLeftCell="A1">
      <selection activeCell="H9" sqref="H9"/>
    </sheetView>
  </sheetViews>
  <sheetFormatPr defaultColWidth="9.00390625" defaultRowHeight="15.75" customHeight="1"/>
  <cols>
    <col min="1" max="1" width="4.875" style="100" customWidth="1"/>
    <col min="2" max="2" width="54.25390625" style="97" customWidth="1"/>
    <col min="3" max="3" width="11.75390625" style="97" customWidth="1"/>
    <col min="4" max="4" width="11.375" style="97" customWidth="1"/>
    <col min="5" max="5" width="5.375" style="97" customWidth="1"/>
    <col min="6" max="16384" width="9.125" style="97" customWidth="1"/>
  </cols>
  <sheetData>
    <row r="1" spans="4:5" ht="15.75" customHeight="1">
      <c r="D1" s="1963" t="s">
        <v>1437</v>
      </c>
      <c r="E1" s="1963"/>
    </row>
    <row r="3" spans="1:5" ht="15.75" customHeight="1">
      <c r="A3" s="1967" t="s">
        <v>1282</v>
      </c>
      <c r="B3" s="1967"/>
      <c r="C3" s="1967"/>
      <c r="D3" s="1967"/>
      <c r="E3" s="1967"/>
    </row>
    <row r="4" ht="11.25" customHeight="1"/>
    <row r="5" spans="1:5" ht="15.75" customHeight="1" thickBot="1">
      <c r="A5" s="2162" t="s">
        <v>1442</v>
      </c>
      <c r="B5" s="2162"/>
      <c r="E5" s="604" t="s">
        <v>208</v>
      </c>
    </row>
    <row r="6" spans="1:5" s="96" customFormat="1" ht="18" customHeight="1">
      <c r="A6" s="1490" t="s">
        <v>1219</v>
      </c>
      <c r="B6" s="617" t="s">
        <v>210</v>
      </c>
      <c r="C6" s="617" t="s">
        <v>211</v>
      </c>
      <c r="D6" s="617" t="s">
        <v>212</v>
      </c>
      <c r="E6" s="1491" t="s">
        <v>213</v>
      </c>
    </row>
    <row r="7" spans="1:5" s="98" customFormat="1" ht="10.5" customHeight="1" thickBot="1">
      <c r="A7" s="1492">
        <v>1</v>
      </c>
      <c r="B7" s="1493">
        <v>2</v>
      </c>
      <c r="C7" s="1493">
        <v>3</v>
      </c>
      <c r="D7" s="1493">
        <v>4</v>
      </c>
      <c r="E7" s="1494">
        <v>5</v>
      </c>
    </row>
    <row r="8" spans="1:5" s="98" customFormat="1" ht="19.5" customHeight="1">
      <c r="A8" s="575" t="s">
        <v>816</v>
      </c>
      <c r="B8" s="1506" t="s">
        <v>1231</v>
      </c>
      <c r="C8" s="1915">
        <f>97551-12311</f>
        <v>85240</v>
      </c>
      <c r="D8" s="1915">
        <f>97550.52-12310.31</f>
        <v>85240.21</v>
      </c>
      <c r="E8" s="1162" t="s">
        <v>1227</v>
      </c>
    </row>
    <row r="9" spans="1:5" ht="19.5" customHeight="1">
      <c r="A9" s="1508" t="s">
        <v>817</v>
      </c>
      <c r="B9" s="1509" t="s">
        <v>1211</v>
      </c>
      <c r="C9" s="1510">
        <f>SUM(C10,C11,C12,C13,C14,C15,C16,C17)</f>
        <v>639379</v>
      </c>
      <c r="D9" s="1510">
        <f>SUM(D10,D11,D12,D13,D14,D15,D16,D17)</f>
        <v>639468.6000000001</v>
      </c>
      <c r="E9" s="1144">
        <f aca="true" t="shared" si="0" ref="E9:E34">D9/C9*100</f>
        <v>100.01401359756889</v>
      </c>
    </row>
    <row r="10" spans="1:5" ht="19.5" customHeight="1">
      <c r="A10" s="1499" t="s">
        <v>1222</v>
      </c>
      <c r="B10" s="1153" t="s">
        <v>158</v>
      </c>
      <c r="C10" s="1501">
        <v>411794</v>
      </c>
      <c r="D10" s="1501">
        <v>411794</v>
      </c>
      <c r="E10" s="1145">
        <f t="shared" si="0"/>
        <v>100</v>
      </c>
    </row>
    <row r="11" spans="1:5" s="1175" customFormat="1" ht="19.5" customHeight="1">
      <c r="A11" s="1499" t="s">
        <v>1223</v>
      </c>
      <c r="B11" s="1159" t="s">
        <v>455</v>
      </c>
      <c r="C11" s="1501">
        <v>28540</v>
      </c>
      <c r="D11" s="1501">
        <v>28540</v>
      </c>
      <c r="E11" s="1145">
        <f t="shared" si="0"/>
        <v>100</v>
      </c>
    </row>
    <row r="12" spans="1:5" ht="28.5" customHeight="1" hidden="1">
      <c r="A12" s="1499" t="s">
        <v>1548</v>
      </c>
      <c r="B12" s="1153" t="s">
        <v>159</v>
      </c>
      <c r="C12" s="1501">
        <v>0</v>
      </c>
      <c r="D12" s="1501">
        <v>0</v>
      </c>
      <c r="E12" s="1145" t="e">
        <f t="shared" si="0"/>
        <v>#DIV/0!</v>
      </c>
    </row>
    <row r="13" spans="1:5" ht="19.5" customHeight="1">
      <c r="A13" s="1499" t="s">
        <v>1548</v>
      </c>
      <c r="B13" s="1159" t="s">
        <v>160</v>
      </c>
      <c r="C13" s="1501">
        <v>192500</v>
      </c>
      <c r="D13" s="1501">
        <v>192587.92</v>
      </c>
      <c r="E13" s="1145">
        <f t="shared" si="0"/>
        <v>100.04567272727274</v>
      </c>
    </row>
    <row r="14" spans="1:5" ht="19.5" customHeight="1" hidden="1">
      <c r="A14" s="1499" t="s">
        <v>1555</v>
      </c>
      <c r="B14" s="1153" t="s">
        <v>161</v>
      </c>
      <c r="C14" s="1501">
        <v>0</v>
      </c>
      <c r="D14" s="1501">
        <v>0</v>
      </c>
      <c r="E14" s="1518" t="s">
        <v>1195</v>
      </c>
    </row>
    <row r="15" spans="1:5" ht="42" customHeight="1" hidden="1">
      <c r="A15" s="1499" t="s">
        <v>1556</v>
      </c>
      <c r="B15" s="1153" t="s">
        <v>456</v>
      </c>
      <c r="C15" s="1501">
        <v>0</v>
      </c>
      <c r="D15" s="1501">
        <v>0</v>
      </c>
      <c r="E15" s="1145" t="e">
        <f t="shared" si="0"/>
        <v>#DIV/0!</v>
      </c>
    </row>
    <row r="16" spans="1:5" ht="19.5" customHeight="1">
      <c r="A16" s="1499" t="s">
        <v>1555</v>
      </c>
      <c r="B16" s="1153" t="s">
        <v>748</v>
      </c>
      <c r="C16" s="1501">
        <v>6545</v>
      </c>
      <c r="D16" s="1501">
        <v>6546.68</v>
      </c>
      <c r="E16" s="1518" t="s">
        <v>1195</v>
      </c>
    </row>
    <row r="17" spans="1:5" ht="19.5" customHeight="1" hidden="1" thickBot="1">
      <c r="A17" s="1502" t="s">
        <v>329</v>
      </c>
      <c r="B17" s="1519" t="s">
        <v>162</v>
      </c>
      <c r="C17" s="1504">
        <v>0</v>
      </c>
      <c r="D17" s="1504">
        <v>0</v>
      </c>
      <c r="E17" s="1520" t="e">
        <f t="shared" si="0"/>
        <v>#DIV/0!</v>
      </c>
    </row>
    <row r="18" spans="1:5" s="98" customFormat="1" ht="19.5" customHeight="1" thickBot="1">
      <c r="A18" s="2166" t="s">
        <v>821</v>
      </c>
      <c r="B18" s="2167"/>
      <c r="C18" s="1521">
        <f>SUM(C8,C9)</f>
        <v>724619</v>
      </c>
      <c r="D18" s="1521">
        <f>SUM(D8,D9)</f>
        <v>724708.81</v>
      </c>
      <c r="E18" s="1299">
        <f t="shared" si="0"/>
        <v>100.0123940995199</v>
      </c>
    </row>
    <row r="19" spans="1:5" s="98" customFormat="1" ht="19.5" customHeight="1">
      <c r="A19" s="575" t="s">
        <v>823</v>
      </c>
      <c r="B19" s="1512" t="s">
        <v>1281</v>
      </c>
      <c r="C19" s="1507">
        <f>SUM(C20:C34)</f>
        <v>609293</v>
      </c>
      <c r="D19" s="1507">
        <f>SUM(D20:D34)</f>
        <v>609153.76</v>
      </c>
      <c r="E19" s="1155">
        <f t="shared" si="0"/>
        <v>99.97714728381911</v>
      </c>
    </row>
    <row r="20" spans="1:5" ht="19.5" customHeight="1">
      <c r="A20" s="1499" t="s">
        <v>1222</v>
      </c>
      <c r="B20" s="1159" t="s">
        <v>826</v>
      </c>
      <c r="C20" s="1501">
        <v>339600</v>
      </c>
      <c r="D20" s="1501">
        <v>339577.51</v>
      </c>
      <c r="E20" s="1145">
        <f t="shared" si="0"/>
        <v>99.99337750294465</v>
      </c>
    </row>
    <row r="21" spans="1:5" ht="19.5" customHeight="1">
      <c r="A21" s="1499" t="s">
        <v>1223</v>
      </c>
      <c r="B21" s="1159" t="s">
        <v>1610</v>
      </c>
      <c r="C21" s="1501">
        <v>6050</v>
      </c>
      <c r="D21" s="1501">
        <v>6045</v>
      </c>
      <c r="E21" s="1145">
        <f t="shared" si="0"/>
        <v>99.91735537190083</v>
      </c>
    </row>
    <row r="22" spans="1:5" ht="30" customHeight="1">
      <c r="A22" s="1499" t="s">
        <v>1548</v>
      </c>
      <c r="B22" s="1153" t="s">
        <v>200</v>
      </c>
      <c r="C22" s="1501">
        <f>60980+2770</f>
        <v>63750</v>
      </c>
      <c r="D22" s="1501">
        <v>63713.44</v>
      </c>
      <c r="E22" s="1145">
        <f t="shared" si="0"/>
        <v>99.94265098039216</v>
      </c>
    </row>
    <row r="23" spans="1:5" ht="19.5" customHeight="1">
      <c r="A23" s="1499" t="s">
        <v>1555</v>
      </c>
      <c r="B23" s="1153" t="s">
        <v>457</v>
      </c>
      <c r="C23" s="1501">
        <v>10060</v>
      </c>
      <c r="D23" s="1501">
        <v>10057.99</v>
      </c>
      <c r="E23" s="1145">
        <f t="shared" si="0"/>
        <v>99.9800198807157</v>
      </c>
    </row>
    <row r="24" spans="1:5" ht="19.5" customHeight="1">
      <c r="A24" s="1499" t="s">
        <v>1556</v>
      </c>
      <c r="B24" s="1159" t="s">
        <v>1611</v>
      </c>
      <c r="C24" s="1501">
        <f>13203+6883</f>
        <v>20086</v>
      </c>
      <c r="D24" s="1501">
        <f>13201.14+6881.22</f>
        <v>20082.36</v>
      </c>
      <c r="E24" s="1145">
        <f t="shared" si="0"/>
        <v>99.98187792492284</v>
      </c>
    </row>
    <row r="25" spans="1:5" ht="19.5" customHeight="1">
      <c r="A25" s="1499" t="s">
        <v>1557</v>
      </c>
      <c r="B25" s="1159" t="s">
        <v>713</v>
      </c>
      <c r="C25" s="1501">
        <v>7200</v>
      </c>
      <c r="D25" s="1501">
        <v>7190</v>
      </c>
      <c r="E25" s="1145">
        <f t="shared" si="0"/>
        <v>99.86111111111111</v>
      </c>
    </row>
    <row r="26" spans="1:5" ht="19.5" customHeight="1">
      <c r="A26" s="1499" t="s">
        <v>329</v>
      </c>
      <c r="B26" s="1159" t="s">
        <v>1568</v>
      </c>
      <c r="C26" s="1501">
        <v>1540</v>
      </c>
      <c r="D26" s="1501">
        <v>1539.25</v>
      </c>
      <c r="E26" s="1145">
        <f t="shared" si="0"/>
        <v>99.9512987012987</v>
      </c>
    </row>
    <row r="27" spans="1:5" ht="19.5" customHeight="1">
      <c r="A27" s="1499" t="s">
        <v>330</v>
      </c>
      <c r="B27" s="1159" t="s">
        <v>1612</v>
      </c>
      <c r="C27" s="1501">
        <v>34630</v>
      </c>
      <c r="D27" s="1501">
        <v>34622.33</v>
      </c>
      <c r="E27" s="1145">
        <f t="shared" si="0"/>
        <v>99.97785157377996</v>
      </c>
    </row>
    <row r="28" spans="1:5" ht="19.5" customHeight="1">
      <c r="A28" s="1499" t="s">
        <v>1558</v>
      </c>
      <c r="B28" s="1159" t="s">
        <v>458</v>
      </c>
      <c r="C28" s="1501">
        <f>27140+59500</f>
        <v>86640</v>
      </c>
      <c r="D28" s="1501">
        <f>27133.29+59492.68</f>
        <v>86625.97</v>
      </c>
      <c r="E28" s="1145">
        <f t="shared" si="0"/>
        <v>99.98380655586334</v>
      </c>
    </row>
    <row r="29" spans="1:5" ht="19.5" customHeight="1" hidden="1">
      <c r="A29" s="1499" t="s">
        <v>1558</v>
      </c>
      <c r="B29" s="1159" t="s">
        <v>1613</v>
      </c>
      <c r="C29" s="1501">
        <v>0</v>
      </c>
      <c r="D29" s="1501">
        <v>0</v>
      </c>
      <c r="E29" s="1518" t="s">
        <v>1195</v>
      </c>
    </row>
    <row r="30" spans="1:5" ht="19.5" customHeight="1">
      <c r="A30" s="1499" t="s">
        <v>1560</v>
      </c>
      <c r="B30" s="1159" t="s">
        <v>164</v>
      </c>
      <c r="C30" s="1501">
        <v>4750</v>
      </c>
      <c r="D30" s="1501">
        <v>4715.4</v>
      </c>
      <c r="E30" s="1145">
        <f t="shared" si="0"/>
        <v>99.27157894736841</v>
      </c>
    </row>
    <row r="31" spans="1:5" ht="19.5" customHeight="1" hidden="1">
      <c r="A31" s="1499" t="s">
        <v>331</v>
      </c>
      <c r="B31" s="1159" t="s">
        <v>1397</v>
      </c>
      <c r="C31" s="1501">
        <v>0</v>
      </c>
      <c r="D31" s="1501">
        <v>0</v>
      </c>
      <c r="E31" s="1518" t="s">
        <v>1195</v>
      </c>
    </row>
    <row r="32" spans="1:5" ht="19.5" customHeight="1">
      <c r="A32" s="1499" t="s">
        <v>331</v>
      </c>
      <c r="B32" s="1159" t="s">
        <v>163</v>
      </c>
      <c r="C32" s="1501">
        <f>3443+1640+60</f>
        <v>5143</v>
      </c>
      <c r="D32" s="1501">
        <v>5142</v>
      </c>
      <c r="E32" s="1145">
        <f t="shared" si="0"/>
        <v>99.98055609566401</v>
      </c>
    </row>
    <row r="33" spans="1:5" ht="19.5" customHeight="1">
      <c r="A33" s="1499" t="s">
        <v>1561</v>
      </c>
      <c r="B33" s="1159" t="s">
        <v>1449</v>
      </c>
      <c r="C33" s="1501">
        <v>28540</v>
      </c>
      <c r="D33" s="1501">
        <v>28540</v>
      </c>
      <c r="E33" s="1145">
        <f>D33/C33*100</f>
        <v>100</v>
      </c>
    </row>
    <row r="34" spans="1:5" ht="19.5" customHeight="1">
      <c r="A34" s="587" t="s">
        <v>1562</v>
      </c>
      <c r="B34" s="1513" t="s">
        <v>1450</v>
      </c>
      <c r="C34" s="1514">
        <v>1304</v>
      </c>
      <c r="D34" s="1514">
        <v>1302.51</v>
      </c>
      <c r="E34" s="1145">
        <f t="shared" si="0"/>
        <v>99.88573619631902</v>
      </c>
    </row>
    <row r="35" spans="1:5" s="98" customFormat="1" ht="19.5" customHeight="1" thickBot="1">
      <c r="A35" s="1523" t="s">
        <v>1639</v>
      </c>
      <c r="B35" s="1515" t="s">
        <v>1230</v>
      </c>
      <c r="C35" s="1524">
        <f>C8+C9-C19</f>
        <v>115326</v>
      </c>
      <c r="D35" s="1524">
        <f>D8+D9-D19</f>
        <v>115555.05000000005</v>
      </c>
      <c r="E35" s="1668" t="s">
        <v>1227</v>
      </c>
    </row>
    <row r="36" spans="1:5" s="98" customFormat="1" ht="20.25" customHeight="1" thickBot="1">
      <c r="A36" s="2160" t="s">
        <v>1640</v>
      </c>
      <c r="B36" s="2161"/>
      <c r="C36" s="1525">
        <f>SUM(C19,C35)</f>
        <v>724619</v>
      </c>
      <c r="D36" s="1525">
        <f>SUM(D19,D35)</f>
        <v>724708.81</v>
      </c>
      <c r="E36" s="1517">
        <f>D36/C36*100</f>
        <v>100.0123940995199</v>
      </c>
    </row>
    <row r="37" spans="2:4" ht="15.75" customHeight="1" hidden="1">
      <c r="B37" s="604" t="s">
        <v>77</v>
      </c>
      <c r="C37" s="607"/>
      <c r="D37" s="607">
        <f>D18-D36</f>
        <v>0</v>
      </c>
    </row>
    <row r="38" spans="3:4" ht="15.75" customHeight="1">
      <c r="C38" s="604"/>
      <c r="D38" s="604"/>
    </row>
    <row r="39" spans="3:4" ht="15.75" customHeight="1">
      <c r="C39" s="604"/>
      <c r="D39" s="604"/>
    </row>
    <row r="40" spans="3:4" ht="15.75" customHeight="1">
      <c r="C40" s="604"/>
      <c r="D40" s="604"/>
    </row>
    <row r="41" spans="3:4" ht="15.75" customHeight="1">
      <c r="C41" s="604"/>
      <c r="D41" s="604"/>
    </row>
    <row r="42" spans="3:4" ht="15.75" customHeight="1">
      <c r="C42" s="604"/>
      <c r="D42" s="604"/>
    </row>
    <row r="43" spans="3:4" ht="15.75" customHeight="1">
      <c r="C43" s="604"/>
      <c r="D43" s="604"/>
    </row>
    <row r="44" spans="3:4" ht="15.75" customHeight="1">
      <c r="C44" s="604"/>
      <c r="D44" s="604"/>
    </row>
  </sheetData>
  <sheetProtection password="CF53" sheet="1" formatRows="0" insertColumns="0" insertRows="0" insertHyperlinks="0" deleteColumns="0" deleteRows="0" sort="0" autoFilter="0" pivotTables="0"/>
  <mergeCells count="5">
    <mergeCell ref="A3:E3"/>
    <mergeCell ref="A18:B18"/>
    <mergeCell ref="A36:B36"/>
    <mergeCell ref="D1:E1"/>
    <mergeCell ref="A5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G100"/>
  <sheetViews>
    <sheetView tabSelected="1" view="pageBreakPreview" zoomScaleSheetLayoutView="100" zoomScalePageLayoutView="0" workbookViewId="0" topLeftCell="A1">
      <pane ySplit="6" topLeftCell="A7" activePane="bottomLeft" state="frozen"/>
      <selection pane="topLeft" activeCell="I244" sqref="I244"/>
      <selection pane="bottomLeft" activeCell="A88" sqref="A88"/>
    </sheetView>
  </sheetViews>
  <sheetFormatPr defaultColWidth="9.00390625" defaultRowHeight="12.75"/>
  <cols>
    <col min="1" max="1" width="6.375" style="1553" customWidth="1"/>
    <col min="2" max="2" width="43.125" style="1554" customWidth="1"/>
    <col min="3" max="3" width="15.00390625" style="1555" customWidth="1"/>
    <col min="4" max="4" width="15.125" style="1555" customWidth="1"/>
    <col min="5" max="5" width="7.375" style="1554" customWidth="1"/>
    <col min="6" max="6" width="10.375" style="1554" bestFit="1" customWidth="1"/>
    <col min="7" max="16384" width="9.125" style="1554" customWidth="1"/>
  </cols>
  <sheetData>
    <row r="1" spans="4:5" ht="12.75">
      <c r="D1" s="2168" t="s">
        <v>1436</v>
      </c>
      <c r="E1" s="2168"/>
    </row>
    <row r="2" ht="6" customHeight="1"/>
    <row r="3" spans="1:5" ht="24" customHeight="1">
      <c r="A3" s="2169" t="s">
        <v>1452</v>
      </c>
      <c r="B3" s="2169"/>
      <c r="C3" s="2169"/>
      <c r="D3" s="2169"/>
      <c r="E3" s="2169"/>
    </row>
    <row r="4" spans="4:5" ht="11.25" customHeight="1" thickBot="1">
      <c r="D4" s="1556"/>
      <c r="E4" s="1556" t="s">
        <v>208</v>
      </c>
    </row>
    <row r="5" spans="1:5" s="1553" customFormat="1" ht="15.75" customHeight="1">
      <c r="A5" s="1557" t="s">
        <v>1219</v>
      </c>
      <c r="B5" s="1558" t="s">
        <v>210</v>
      </c>
      <c r="C5" s="1559" t="s">
        <v>211</v>
      </c>
      <c r="D5" s="1560" t="s">
        <v>212</v>
      </c>
      <c r="E5" s="1561" t="s">
        <v>213</v>
      </c>
    </row>
    <row r="6" spans="1:5" s="1567" customFormat="1" ht="12" customHeight="1" thickBot="1">
      <c r="A6" s="1562">
        <v>1</v>
      </c>
      <c r="B6" s="1563">
        <v>2</v>
      </c>
      <c r="C6" s="1564">
        <v>3</v>
      </c>
      <c r="D6" s="1565">
        <v>4</v>
      </c>
      <c r="E6" s="1566">
        <v>5</v>
      </c>
    </row>
    <row r="7" spans="1:5" s="1573" customFormat="1" ht="18.75" customHeight="1">
      <c r="A7" s="1568" t="s">
        <v>1222</v>
      </c>
      <c r="B7" s="1569" t="s">
        <v>1453</v>
      </c>
      <c r="C7" s="1570">
        <v>1551700</v>
      </c>
      <c r="D7" s="1571">
        <v>1488270.17</v>
      </c>
      <c r="E7" s="1572">
        <f aca="true" t="shared" si="0" ref="E7:E71">D7/C7*100</f>
        <v>95.91223625700844</v>
      </c>
    </row>
    <row r="8" spans="1:5" s="1573" customFormat="1" ht="18.75" customHeight="1">
      <c r="A8" s="1586" t="s">
        <v>1223</v>
      </c>
      <c r="B8" s="1587" t="s">
        <v>1454</v>
      </c>
      <c r="C8" s="1588">
        <f>SUM(C9:C26)</f>
        <v>3189025</v>
      </c>
      <c r="D8" s="1588">
        <f>SUM(D9:D26)</f>
        <v>2528549.7300000004</v>
      </c>
      <c r="E8" s="1589">
        <f t="shared" si="0"/>
        <v>79.28911595236791</v>
      </c>
    </row>
    <row r="9" spans="1:5" ht="15.75" customHeight="1">
      <c r="A9" s="1574" t="s">
        <v>50</v>
      </c>
      <c r="B9" s="1575" t="s">
        <v>1455</v>
      </c>
      <c r="C9" s="1576">
        <v>38700</v>
      </c>
      <c r="D9" s="1576">
        <v>16033.74</v>
      </c>
      <c r="E9" s="1577">
        <f t="shared" si="0"/>
        <v>41.4308527131783</v>
      </c>
    </row>
    <row r="10" spans="1:5" ht="29.25" customHeight="1">
      <c r="A10" s="1574" t="s">
        <v>51</v>
      </c>
      <c r="B10" s="1575" t="s">
        <v>1456</v>
      </c>
      <c r="C10" s="1576">
        <v>696970</v>
      </c>
      <c r="D10" s="1576">
        <v>398402.66</v>
      </c>
      <c r="E10" s="1577">
        <f t="shared" si="0"/>
        <v>57.1620959295235</v>
      </c>
    </row>
    <row r="11" spans="1:5" ht="29.25" customHeight="1">
      <c r="A11" s="1574" t="s">
        <v>53</v>
      </c>
      <c r="B11" s="1575" t="s">
        <v>1457</v>
      </c>
      <c r="C11" s="1576">
        <v>46000</v>
      </c>
      <c r="D11" s="1576">
        <v>40542.13</v>
      </c>
      <c r="E11" s="1577">
        <f t="shared" si="0"/>
        <v>88.1350652173913</v>
      </c>
    </row>
    <row r="12" spans="1:5" ht="15.75" customHeight="1">
      <c r="A12" s="1574" t="s">
        <v>1458</v>
      </c>
      <c r="B12" s="1575" t="s">
        <v>1459</v>
      </c>
      <c r="C12" s="1576">
        <v>2100</v>
      </c>
      <c r="D12" s="1576">
        <v>0</v>
      </c>
      <c r="E12" s="1577">
        <f t="shared" si="0"/>
        <v>0</v>
      </c>
    </row>
    <row r="13" spans="1:5" ht="15.75" customHeight="1">
      <c r="A13" s="1574" t="s">
        <v>1460</v>
      </c>
      <c r="B13" s="1575" t="s">
        <v>1461</v>
      </c>
      <c r="C13" s="1576">
        <v>281700</v>
      </c>
      <c r="D13" s="1576">
        <v>189804.66</v>
      </c>
      <c r="E13" s="1577">
        <f t="shared" si="0"/>
        <v>67.3782960596379</v>
      </c>
    </row>
    <row r="14" spans="1:5" ht="15.75" customHeight="1">
      <c r="A14" s="1574" t="s">
        <v>1462</v>
      </c>
      <c r="B14" s="1575" t="s">
        <v>459</v>
      </c>
      <c r="C14" s="1576">
        <v>128854</v>
      </c>
      <c r="D14" s="1576">
        <v>108939.42</v>
      </c>
      <c r="E14" s="1577">
        <f t="shared" si="0"/>
        <v>84.54484920918249</v>
      </c>
    </row>
    <row r="15" spans="1:5" ht="15.75" customHeight="1">
      <c r="A15" s="1574" t="s">
        <v>460</v>
      </c>
      <c r="B15" s="1575" t="s">
        <v>461</v>
      </c>
      <c r="C15" s="1576">
        <v>4136</v>
      </c>
      <c r="D15" s="1576">
        <v>2912.73</v>
      </c>
      <c r="E15" s="1577">
        <f t="shared" si="0"/>
        <v>70.42383945841392</v>
      </c>
    </row>
    <row r="16" spans="1:5" ht="15.75" customHeight="1">
      <c r="A16" s="1574"/>
      <c r="B16" s="1575" t="s">
        <v>462</v>
      </c>
      <c r="C16" s="1576">
        <v>74000</v>
      </c>
      <c r="D16" s="1576">
        <v>60983.09</v>
      </c>
      <c r="E16" s="1577">
        <f t="shared" si="0"/>
        <v>82.40958108108107</v>
      </c>
    </row>
    <row r="17" spans="1:5" ht="15.75" customHeight="1">
      <c r="A17" s="1574" t="s">
        <v>463</v>
      </c>
      <c r="B17" s="1575" t="s">
        <v>464</v>
      </c>
      <c r="C17" s="1576">
        <v>1132300</v>
      </c>
      <c r="D17" s="1576">
        <v>1052268.58</v>
      </c>
      <c r="E17" s="1577">
        <f t="shared" si="0"/>
        <v>92.93195972798729</v>
      </c>
    </row>
    <row r="18" spans="1:5" ht="15.75" customHeight="1">
      <c r="A18" s="1574"/>
      <c r="B18" s="1575" t="s">
        <v>1003</v>
      </c>
      <c r="C18" s="1576">
        <v>240000</v>
      </c>
      <c r="D18" s="1576">
        <v>214321.15</v>
      </c>
      <c r="E18" s="1577">
        <f t="shared" si="0"/>
        <v>89.30047916666666</v>
      </c>
    </row>
    <row r="19" spans="1:5" ht="15.75" customHeight="1">
      <c r="A19" s="1574" t="s">
        <v>1004</v>
      </c>
      <c r="B19" s="1575" t="s">
        <v>1005</v>
      </c>
      <c r="C19" s="1576">
        <v>9000</v>
      </c>
      <c r="D19" s="1576">
        <v>8181.04</v>
      </c>
      <c r="E19" s="1577">
        <f t="shared" si="0"/>
        <v>90.90044444444445</v>
      </c>
    </row>
    <row r="20" spans="1:5" ht="15.75" customHeight="1">
      <c r="A20" s="1574" t="s">
        <v>1006</v>
      </c>
      <c r="B20" s="1575" t="s">
        <v>479</v>
      </c>
      <c r="C20" s="1576">
        <v>75225</v>
      </c>
      <c r="D20" s="1576">
        <v>34097.67</v>
      </c>
      <c r="E20" s="1577">
        <f t="shared" si="0"/>
        <v>45.32757726819541</v>
      </c>
    </row>
    <row r="21" spans="1:5" ht="15" customHeight="1">
      <c r="A21" s="1574" t="s">
        <v>480</v>
      </c>
      <c r="B21" s="1575" t="s">
        <v>481</v>
      </c>
      <c r="C21" s="1576">
        <v>55200</v>
      </c>
      <c r="D21" s="1576">
        <v>47792.4</v>
      </c>
      <c r="E21" s="1577">
        <f t="shared" si="0"/>
        <v>86.58043478260869</v>
      </c>
    </row>
    <row r="22" spans="1:5" ht="15" customHeight="1">
      <c r="A22" s="1574" t="s">
        <v>482</v>
      </c>
      <c r="B22" s="1575" t="s">
        <v>483</v>
      </c>
      <c r="C22" s="1576">
        <v>112840</v>
      </c>
      <c r="D22" s="1576">
        <v>91863.39</v>
      </c>
      <c r="E22" s="1577">
        <f t="shared" si="0"/>
        <v>81.41030662885501</v>
      </c>
    </row>
    <row r="23" spans="1:5" ht="15" customHeight="1">
      <c r="A23" s="1574" t="s">
        <v>484</v>
      </c>
      <c r="B23" s="1575" t="s">
        <v>485</v>
      </c>
      <c r="C23" s="1576">
        <v>17000</v>
      </c>
      <c r="D23" s="1576">
        <v>16157.33</v>
      </c>
      <c r="E23" s="1577">
        <f t="shared" si="0"/>
        <v>95.04311764705882</v>
      </c>
    </row>
    <row r="24" spans="1:5" ht="15" customHeight="1">
      <c r="A24" s="1574" t="s">
        <v>486</v>
      </c>
      <c r="B24" s="1575" t="s">
        <v>487</v>
      </c>
      <c r="C24" s="1576">
        <v>27000</v>
      </c>
      <c r="D24" s="1576">
        <v>22974.04</v>
      </c>
      <c r="E24" s="1577">
        <f>D24/C24*100</f>
        <v>85.08903703703704</v>
      </c>
    </row>
    <row r="25" spans="1:5" ht="15" customHeight="1">
      <c r="A25" s="1574" t="s">
        <v>488</v>
      </c>
      <c r="B25" s="1575" t="s">
        <v>489</v>
      </c>
      <c r="C25" s="1576">
        <v>248000</v>
      </c>
      <c r="D25" s="1576">
        <v>223275.7</v>
      </c>
      <c r="E25" s="1577">
        <f t="shared" si="0"/>
        <v>90.03052419354839</v>
      </c>
    </row>
    <row r="26" spans="1:5" ht="15" customHeight="1" hidden="1">
      <c r="A26" s="1574"/>
      <c r="B26" s="1583"/>
      <c r="C26" s="1584"/>
      <c r="D26" s="1584"/>
      <c r="E26" s="1585"/>
    </row>
    <row r="27" spans="1:5" s="1573" customFormat="1" ht="18.75" customHeight="1">
      <c r="A27" s="1578" t="s">
        <v>1548</v>
      </c>
      <c r="B27" s="1579" t="s">
        <v>490</v>
      </c>
      <c r="C27" s="1580">
        <f>SUM(C28:C30)</f>
        <v>848000</v>
      </c>
      <c r="D27" s="1580">
        <f>SUM(D28:D30)</f>
        <v>764281.25</v>
      </c>
      <c r="E27" s="1581">
        <f t="shared" si="0"/>
        <v>90.12750589622641</v>
      </c>
    </row>
    <row r="28" spans="1:5" ht="15.75" customHeight="1">
      <c r="A28" s="1574" t="s">
        <v>1272</v>
      </c>
      <c r="B28" s="1575" t="s">
        <v>491</v>
      </c>
      <c r="C28" s="1576">
        <v>435000</v>
      </c>
      <c r="D28" s="1576">
        <v>403327.38</v>
      </c>
      <c r="E28" s="1577">
        <f t="shared" si="0"/>
        <v>92.71893793103449</v>
      </c>
    </row>
    <row r="29" spans="1:5" ht="15.75" customHeight="1">
      <c r="A29" s="1574" t="s">
        <v>1273</v>
      </c>
      <c r="B29" s="1575" t="s">
        <v>492</v>
      </c>
      <c r="C29" s="1576">
        <v>101000</v>
      </c>
      <c r="D29" s="1576">
        <v>76108.97</v>
      </c>
      <c r="E29" s="1577">
        <f t="shared" si="0"/>
        <v>75.35541584158416</v>
      </c>
    </row>
    <row r="30" spans="1:5" ht="15.75" customHeight="1">
      <c r="A30" s="1582" t="s">
        <v>1274</v>
      </c>
      <c r="B30" s="1583" t="s">
        <v>493</v>
      </c>
      <c r="C30" s="1584">
        <v>312000</v>
      </c>
      <c r="D30" s="1584">
        <v>284844.9</v>
      </c>
      <c r="E30" s="1585">
        <f t="shared" si="0"/>
        <v>91.29644230769232</v>
      </c>
    </row>
    <row r="31" spans="1:5" s="1573" customFormat="1" ht="18.75" customHeight="1">
      <c r="A31" s="1586" t="s">
        <v>1555</v>
      </c>
      <c r="B31" s="1587" t="s">
        <v>494</v>
      </c>
      <c r="C31" s="1588">
        <f>SUM(C32:C63)</f>
        <v>7644933</v>
      </c>
      <c r="D31" s="1588">
        <f>SUM(D32:D63)</f>
        <v>6777199.779999999</v>
      </c>
      <c r="E31" s="1589">
        <f t="shared" si="0"/>
        <v>88.6495640968992</v>
      </c>
    </row>
    <row r="32" spans="1:5" ht="15.75" customHeight="1">
      <c r="A32" s="1574" t="s">
        <v>1275</v>
      </c>
      <c r="B32" s="1575" t="s">
        <v>495</v>
      </c>
      <c r="C32" s="1576">
        <v>600780</v>
      </c>
      <c r="D32" s="1576">
        <v>382079.49</v>
      </c>
      <c r="E32" s="1577">
        <f t="shared" si="0"/>
        <v>63.59723858983322</v>
      </c>
    </row>
    <row r="33" spans="1:5" ht="15.75" customHeight="1">
      <c r="A33" s="1574" t="s">
        <v>1276</v>
      </c>
      <c r="B33" s="1575" t="s">
        <v>496</v>
      </c>
      <c r="C33" s="1576">
        <v>42000</v>
      </c>
      <c r="D33" s="1576">
        <v>36481.51</v>
      </c>
      <c r="E33" s="1577">
        <f t="shared" si="0"/>
        <v>86.8607380952381</v>
      </c>
    </row>
    <row r="34" spans="1:5" ht="15.75" customHeight="1">
      <c r="A34" s="1574" t="s">
        <v>1277</v>
      </c>
      <c r="B34" s="1575" t="s">
        <v>497</v>
      </c>
      <c r="C34" s="1576">
        <v>60000</v>
      </c>
      <c r="D34" s="1576">
        <v>50898.33</v>
      </c>
      <c r="E34" s="1577">
        <f t="shared" si="0"/>
        <v>84.83055</v>
      </c>
    </row>
    <row r="35" spans="1:5" ht="51.75" customHeight="1">
      <c r="A35" s="1574" t="s">
        <v>714</v>
      </c>
      <c r="B35" s="1575" t="s">
        <v>498</v>
      </c>
      <c r="C35" s="1576">
        <v>194200</v>
      </c>
      <c r="D35" s="1576">
        <v>176510.2</v>
      </c>
      <c r="E35" s="1577">
        <f t="shared" si="0"/>
        <v>90.89093717816684</v>
      </c>
    </row>
    <row r="36" spans="1:5" ht="29.25" customHeight="1">
      <c r="A36" s="1574" t="s">
        <v>715</v>
      </c>
      <c r="B36" s="1575" t="s">
        <v>499</v>
      </c>
      <c r="C36" s="1576">
        <v>86500</v>
      </c>
      <c r="D36" s="1576">
        <v>83020.09</v>
      </c>
      <c r="E36" s="1577">
        <f t="shared" si="0"/>
        <v>95.97698265895953</v>
      </c>
    </row>
    <row r="37" spans="1:5" ht="15" customHeight="1">
      <c r="A37" s="1574" t="s">
        <v>726</v>
      </c>
      <c r="B37" s="1575" t="s">
        <v>500</v>
      </c>
      <c r="C37" s="1576">
        <v>18300</v>
      </c>
      <c r="D37" s="1576">
        <v>17312.64</v>
      </c>
      <c r="E37" s="1577">
        <f>D37/C37*100</f>
        <v>94.60459016393442</v>
      </c>
    </row>
    <row r="38" spans="1:5" ht="15.75" customHeight="1">
      <c r="A38" s="1574" t="s">
        <v>727</v>
      </c>
      <c r="B38" s="1575" t="s">
        <v>501</v>
      </c>
      <c r="C38" s="1576">
        <v>101500</v>
      </c>
      <c r="D38" s="1576">
        <v>84884.27</v>
      </c>
      <c r="E38" s="1577">
        <f>D38/C38*100</f>
        <v>83.62982266009853</v>
      </c>
    </row>
    <row r="39" spans="1:5" ht="15" customHeight="1">
      <c r="A39" s="1574" t="s">
        <v>728</v>
      </c>
      <c r="B39" s="1575" t="s">
        <v>502</v>
      </c>
      <c r="C39" s="1576">
        <v>33900</v>
      </c>
      <c r="D39" s="1576">
        <v>30988.06</v>
      </c>
      <c r="E39" s="1577">
        <f>D39/C39*100</f>
        <v>91.41020648967552</v>
      </c>
    </row>
    <row r="40" spans="1:5" ht="16.5" customHeight="1">
      <c r="A40" s="1574" t="s">
        <v>729</v>
      </c>
      <c r="B40" s="1575" t="s">
        <v>503</v>
      </c>
      <c r="C40" s="1576">
        <v>228000</v>
      </c>
      <c r="D40" s="1576">
        <v>205779.16</v>
      </c>
      <c r="E40" s="1577">
        <f t="shared" si="0"/>
        <v>90.25401754385966</v>
      </c>
    </row>
    <row r="41" spans="1:5" ht="16.5" customHeight="1">
      <c r="A41" s="1574" t="s">
        <v>420</v>
      </c>
      <c r="B41" s="1575" t="s">
        <v>504</v>
      </c>
      <c r="C41" s="1576">
        <v>18500</v>
      </c>
      <c r="D41" s="1576">
        <v>16529.09</v>
      </c>
      <c r="E41" s="1577">
        <f t="shared" si="0"/>
        <v>89.34643243243244</v>
      </c>
    </row>
    <row r="42" spans="1:5" ht="15" customHeight="1">
      <c r="A42" s="1574" t="s">
        <v>1400</v>
      </c>
      <c r="B42" s="1575" t="s">
        <v>505</v>
      </c>
      <c r="C42" s="1576">
        <v>80300</v>
      </c>
      <c r="D42" s="1576">
        <v>67022.22</v>
      </c>
      <c r="E42" s="1577">
        <f t="shared" si="0"/>
        <v>83.46478206724782</v>
      </c>
    </row>
    <row r="43" spans="1:5" ht="15" customHeight="1">
      <c r="A43" s="1574" t="s">
        <v>725</v>
      </c>
      <c r="B43" s="1575" t="s">
        <v>506</v>
      </c>
      <c r="C43" s="1576">
        <v>260000</v>
      </c>
      <c r="D43" s="1576">
        <v>217647.61</v>
      </c>
      <c r="E43" s="1577">
        <f t="shared" si="0"/>
        <v>83.71061923076923</v>
      </c>
    </row>
    <row r="44" spans="1:5" ht="15" customHeight="1">
      <c r="A44" s="1574" t="s">
        <v>507</v>
      </c>
      <c r="B44" s="1575" t="s">
        <v>508</v>
      </c>
      <c r="C44" s="1576">
        <v>9720</v>
      </c>
      <c r="D44" s="1576">
        <v>9119.03</v>
      </c>
      <c r="E44" s="1577">
        <f t="shared" si="0"/>
        <v>93.81718106995885</v>
      </c>
    </row>
    <row r="45" spans="1:5" ht="15" customHeight="1">
      <c r="A45" s="1574" t="s">
        <v>509</v>
      </c>
      <c r="B45" s="1575" t="s">
        <v>510</v>
      </c>
      <c r="C45" s="1576">
        <v>38980</v>
      </c>
      <c r="D45" s="1576">
        <v>36640.72</v>
      </c>
      <c r="E45" s="1577">
        <f t="shared" si="0"/>
        <v>93.99876859928169</v>
      </c>
    </row>
    <row r="46" spans="1:5" ht="15" customHeight="1">
      <c r="A46" s="1574" t="s">
        <v>511</v>
      </c>
      <c r="B46" s="1575" t="s">
        <v>512</v>
      </c>
      <c r="C46" s="1576">
        <v>240</v>
      </c>
      <c r="D46" s="1576">
        <v>269.34</v>
      </c>
      <c r="E46" s="1577">
        <f t="shared" si="0"/>
        <v>112.225</v>
      </c>
    </row>
    <row r="47" spans="1:5" ht="15" customHeight="1">
      <c r="A47" s="1574" t="s">
        <v>513</v>
      </c>
      <c r="B47" s="1575" t="s">
        <v>514</v>
      </c>
      <c r="C47" s="1576">
        <v>44280</v>
      </c>
      <c r="D47" s="1576">
        <v>41542.25</v>
      </c>
      <c r="E47" s="1577">
        <f t="shared" si="0"/>
        <v>93.81718608852755</v>
      </c>
    </row>
    <row r="48" spans="1:5" ht="15" customHeight="1">
      <c r="A48" s="1574" t="s">
        <v>515</v>
      </c>
      <c r="B48" s="1575" t="s">
        <v>516</v>
      </c>
      <c r="C48" s="1576">
        <v>14900</v>
      </c>
      <c r="D48" s="1576">
        <v>12756.5</v>
      </c>
      <c r="E48" s="1577">
        <f t="shared" si="0"/>
        <v>85.61409395973155</v>
      </c>
    </row>
    <row r="49" spans="1:5" ht="15" customHeight="1">
      <c r="A49" s="1574" t="s">
        <v>517</v>
      </c>
      <c r="B49" s="1575" t="s">
        <v>518</v>
      </c>
      <c r="C49" s="1576">
        <v>19200</v>
      </c>
      <c r="D49" s="1590">
        <v>18012.95</v>
      </c>
      <c r="E49" s="1577">
        <f t="shared" si="0"/>
        <v>93.81744791666668</v>
      </c>
    </row>
    <row r="50" spans="1:5" ht="15" customHeight="1">
      <c r="A50" s="1574" t="s">
        <v>519</v>
      </c>
      <c r="B50" s="1575" t="s">
        <v>520</v>
      </c>
      <c r="C50" s="1576">
        <v>5000</v>
      </c>
      <c r="D50" s="1590">
        <v>3902.7</v>
      </c>
      <c r="E50" s="1577">
        <f t="shared" si="0"/>
        <v>78.054</v>
      </c>
    </row>
    <row r="51" spans="1:5" ht="15" customHeight="1">
      <c r="A51" s="1574" t="s">
        <v>521</v>
      </c>
      <c r="B51" s="1575" t="s">
        <v>522</v>
      </c>
      <c r="C51" s="1576">
        <v>12040</v>
      </c>
      <c r="D51" s="1590">
        <v>0</v>
      </c>
      <c r="E51" s="1577">
        <f t="shared" si="0"/>
        <v>0</v>
      </c>
    </row>
    <row r="52" spans="1:5" ht="15" customHeight="1">
      <c r="A52" s="1574" t="s">
        <v>523</v>
      </c>
      <c r="B52" s="1575" t="s">
        <v>524</v>
      </c>
      <c r="C52" s="1576">
        <v>70000</v>
      </c>
      <c r="D52" s="1590">
        <v>65774.24</v>
      </c>
      <c r="E52" s="1577">
        <f t="shared" si="0"/>
        <v>93.9632</v>
      </c>
    </row>
    <row r="53" spans="1:5" ht="15" customHeight="1">
      <c r="A53" s="1574" t="s">
        <v>525</v>
      </c>
      <c r="B53" s="1575" t="s">
        <v>526</v>
      </c>
      <c r="C53" s="1576">
        <v>101040</v>
      </c>
      <c r="D53" s="1590">
        <v>90097.5</v>
      </c>
      <c r="E53" s="1577">
        <f t="shared" si="0"/>
        <v>89.17013064133018</v>
      </c>
    </row>
    <row r="54" spans="1:5" ht="15" customHeight="1" hidden="1">
      <c r="A54" s="1574"/>
      <c r="B54" s="1591" t="s">
        <v>1777</v>
      </c>
      <c r="C54" s="1576"/>
      <c r="D54" s="1590"/>
      <c r="E54" s="1577" t="e">
        <f t="shared" si="0"/>
        <v>#DIV/0!</v>
      </c>
    </row>
    <row r="55" spans="1:5" ht="15.75" customHeight="1">
      <c r="A55" s="1574" t="s">
        <v>1778</v>
      </c>
      <c r="B55" s="1592" t="s">
        <v>1779</v>
      </c>
      <c r="C55" s="1576">
        <v>4009000</v>
      </c>
      <c r="D55" s="1590">
        <v>3679076.78</v>
      </c>
      <c r="E55" s="1577">
        <f>D55/C55*100</f>
        <v>91.77043601895734</v>
      </c>
    </row>
    <row r="56" spans="1:5" ht="15.75" customHeight="1">
      <c r="A56" s="1574" t="s">
        <v>1780</v>
      </c>
      <c r="B56" s="1592" t="s">
        <v>1781</v>
      </c>
      <c r="C56" s="1576">
        <v>927500</v>
      </c>
      <c r="D56" s="1590">
        <v>856998.17</v>
      </c>
      <c r="E56" s="1577">
        <f>D56/C56*100</f>
        <v>92.39872452830188</v>
      </c>
    </row>
    <row r="57" spans="1:5" ht="29.25" customHeight="1">
      <c r="A57" s="1574" t="s">
        <v>1782</v>
      </c>
      <c r="B57" s="1592" t="s">
        <v>1783</v>
      </c>
      <c r="C57" s="1576">
        <v>304200</v>
      </c>
      <c r="D57" s="1590">
        <v>285390.8</v>
      </c>
      <c r="E57" s="1577">
        <f>D57/C57*100</f>
        <v>93.81683103221565</v>
      </c>
    </row>
    <row r="58" spans="1:5" ht="15" customHeight="1">
      <c r="A58" s="1574" t="s">
        <v>1784</v>
      </c>
      <c r="B58" s="1592" t="s">
        <v>1785</v>
      </c>
      <c r="C58" s="1576">
        <v>88000</v>
      </c>
      <c r="D58" s="1590">
        <v>66750</v>
      </c>
      <c r="E58" s="1577">
        <f t="shared" si="0"/>
        <v>75.85227272727273</v>
      </c>
    </row>
    <row r="59" spans="1:5" ht="12.75">
      <c r="A59" s="1574" t="s">
        <v>1786</v>
      </c>
      <c r="B59" s="1592" t="s">
        <v>1787</v>
      </c>
      <c r="C59" s="1576">
        <v>150000</v>
      </c>
      <c r="D59" s="1590">
        <v>140625</v>
      </c>
      <c r="E59" s="1577">
        <f t="shared" si="0"/>
        <v>93.75</v>
      </c>
    </row>
    <row r="60" spans="1:5" ht="12.75">
      <c r="A60" s="1574" t="s">
        <v>1788</v>
      </c>
      <c r="B60" s="1592" t="s">
        <v>1789</v>
      </c>
      <c r="C60" s="1576">
        <v>12000</v>
      </c>
      <c r="D60" s="1590">
        <v>4905.75</v>
      </c>
      <c r="E60" s="1577">
        <f t="shared" si="0"/>
        <v>40.88125</v>
      </c>
    </row>
    <row r="61" spans="1:5" ht="12.75">
      <c r="A61" s="1574" t="s">
        <v>1790</v>
      </c>
      <c r="B61" s="1592" t="s">
        <v>1791</v>
      </c>
      <c r="C61" s="1576">
        <v>6150</v>
      </c>
      <c r="D61" s="1590">
        <v>6150</v>
      </c>
      <c r="E61" s="1577">
        <f t="shared" si="0"/>
        <v>100</v>
      </c>
    </row>
    <row r="62" spans="1:5" ht="54.75" customHeight="1">
      <c r="A62" s="1679" t="s">
        <v>1792</v>
      </c>
      <c r="B62" s="1575" t="s">
        <v>1793</v>
      </c>
      <c r="C62" s="1576">
        <v>67800</v>
      </c>
      <c r="D62" s="1590">
        <v>59384.62</v>
      </c>
      <c r="E62" s="1577">
        <f t="shared" si="0"/>
        <v>87.58793510324485</v>
      </c>
    </row>
    <row r="63" spans="1:5" ht="18" customHeight="1">
      <c r="A63" s="1594" t="s">
        <v>1084</v>
      </c>
      <c r="B63" s="1680" t="s">
        <v>1085</v>
      </c>
      <c r="C63" s="1584">
        <v>40903</v>
      </c>
      <c r="D63" s="1593">
        <v>30650.76</v>
      </c>
      <c r="E63" s="1585">
        <f>D63/C63*100</f>
        <v>74.93523702417914</v>
      </c>
    </row>
    <row r="64" spans="1:5" s="1573" customFormat="1" ht="18.75" customHeight="1">
      <c r="A64" s="1595" t="s">
        <v>1556</v>
      </c>
      <c r="B64" s="1596" t="s">
        <v>1794</v>
      </c>
      <c r="C64" s="1597">
        <f>SUM(C65:C66)</f>
        <v>5832227</v>
      </c>
      <c r="D64" s="1597">
        <f>SUM(D65:D66)</f>
        <v>5216633.2299999995</v>
      </c>
      <c r="E64" s="1598">
        <f t="shared" si="0"/>
        <v>89.44496210452712</v>
      </c>
    </row>
    <row r="65" spans="1:5" ht="15.75" customHeight="1">
      <c r="A65" s="1574" t="s">
        <v>730</v>
      </c>
      <c r="B65" s="1575" t="s">
        <v>1795</v>
      </c>
      <c r="C65" s="1576">
        <v>5572700</v>
      </c>
      <c r="D65" s="1576">
        <v>4975814.3</v>
      </c>
      <c r="E65" s="1577">
        <f t="shared" si="0"/>
        <v>89.28911120282807</v>
      </c>
    </row>
    <row r="66" spans="1:5" ht="15.75" customHeight="1">
      <c r="A66" s="1594" t="s">
        <v>731</v>
      </c>
      <c r="B66" s="1583" t="s">
        <v>1796</v>
      </c>
      <c r="C66" s="1584">
        <v>259527</v>
      </c>
      <c r="D66" s="1584">
        <v>240818.93</v>
      </c>
      <c r="E66" s="1585">
        <f t="shared" si="0"/>
        <v>92.79147449013013</v>
      </c>
    </row>
    <row r="67" spans="1:5" ht="18.75" customHeight="1">
      <c r="A67" s="1595" t="s">
        <v>1557</v>
      </c>
      <c r="B67" s="1596" t="s">
        <v>1797</v>
      </c>
      <c r="C67" s="1597">
        <v>1096000</v>
      </c>
      <c r="D67" s="1597">
        <v>960707.59</v>
      </c>
      <c r="E67" s="1598">
        <f t="shared" si="0"/>
        <v>87.65580200729927</v>
      </c>
    </row>
    <row r="68" spans="1:5" ht="18.75" customHeight="1">
      <c r="A68" s="1586" t="s">
        <v>329</v>
      </c>
      <c r="B68" s="1587" t="s">
        <v>1798</v>
      </c>
      <c r="C68" s="1588">
        <f>SUM(C69:C70)</f>
        <v>28200</v>
      </c>
      <c r="D68" s="1588">
        <f>SUM(D69:D70)</f>
        <v>14500.44</v>
      </c>
      <c r="E68" s="1589">
        <f t="shared" si="0"/>
        <v>51.42</v>
      </c>
    </row>
    <row r="69" spans="1:5" ht="15.75" customHeight="1" hidden="1">
      <c r="A69" s="1574" t="s">
        <v>1799</v>
      </c>
      <c r="B69" s="1575" t="s">
        <v>1800</v>
      </c>
      <c r="C69" s="1576">
        <v>0</v>
      </c>
      <c r="D69" s="1576">
        <v>0</v>
      </c>
      <c r="E69" s="1577" t="e">
        <f t="shared" si="0"/>
        <v>#DIV/0!</v>
      </c>
    </row>
    <row r="70" spans="1:5" ht="26.25" customHeight="1">
      <c r="A70" s="1594" t="s">
        <v>1799</v>
      </c>
      <c r="B70" s="1583" t="s">
        <v>833</v>
      </c>
      <c r="C70" s="1584">
        <v>28200</v>
      </c>
      <c r="D70" s="1584">
        <v>14500.44</v>
      </c>
      <c r="E70" s="1585">
        <f t="shared" si="0"/>
        <v>51.42</v>
      </c>
    </row>
    <row r="71" spans="1:5" s="1573" customFormat="1" ht="18.75" customHeight="1">
      <c r="A71" s="1578" t="s">
        <v>330</v>
      </c>
      <c r="B71" s="1579" t="s">
        <v>834</v>
      </c>
      <c r="C71" s="1580">
        <f>SUM(C72:C74)</f>
        <v>186500</v>
      </c>
      <c r="D71" s="1580">
        <f>SUM(D72:D74)</f>
        <v>168329.18</v>
      </c>
      <c r="E71" s="1581">
        <f t="shared" si="0"/>
        <v>90.25693297587131</v>
      </c>
    </row>
    <row r="72" spans="1:5" ht="15.75" customHeight="1">
      <c r="A72" s="1574" t="s">
        <v>835</v>
      </c>
      <c r="B72" s="1575" t="s">
        <v>836</v>
      </c>
      <c r="C72" s="1576">
        <v>34500</v>
      </c>
      <c r="D72" s="1576">
        <v>29327</v>
      </c>
      <c r="E72" s="1577">
        <f aca="true" t="shared" si="1" ref="E72:E98">D72/C72*100</f>
        <v>85.00579710144928</v>
      </c>
    </row>
    <row r="73" spans="1:5" ht="26.25" customHeight="1">
      <c r="A73" s="1574" t="s">
        <v>837</v>
      </c>
      <c r="B73" s="1575" t="s">
        <v>1676</v>
      </c>
      <c r="C73" s="1576">
        <v>150000</v>
      </c>
      <c r="D73" s="1576">
        <v>138444.35</v>
      </c>
      <c r="E73" s="1577">
        <f t="shared" si="1"/>
        <v>92.29623333333333</v>
      </c>
    </row>
    <row r="74" spans="1:5" ht="15.75" customHeight="1">
      <c r="A74" s="1594" t="s">
        <v>838</v>
      </c>
      <c r="B74" s="1583" t="s">
        <v>839</v>
      </c>
      <c r="C74" s="1584">
        <v>2000</v>
      </c>
      <c r="D74" s="1584">
        <v>557.83</v>
      </c>
      <c r="E74" s="1585">
        <f t="shared" si="1"/>
        <v>27.8915</v>
      </c>
    </row>
    <row r="75" spans="1:5" s="1573" customFormat="1" ht="18.75" customHeight="1">
      <c r="A75" s="1578" t="s">
        <v>1560</v>
      </c>
      <c r="B75" s="1579" t="s">
        <v>840</v>
      </c>
      <c r="C75" s="1580">
        <v>7600</v>
      </c>
      <c r="D75" s="1580">
        <v>7288.83</v>
      </c>
      <c r="E75" s="1581">
        <f t="shared" si="1"/>
        <v>95.90565789473683</v>
      </c>
    </row>
    <row r="76" spans="1:5" s="1573" customFormat="1" ht="30" customHeight="1">
      <c r="A76" s="1578" t="s">
        <v>331</v>
      </c>
      <c r="B76" s="1579" t="s">
        <v>841</v>
      </c>
      <c r="C76" s="1580">
        <v>301550</v>
      </c>
      <c r="D76" s="1580">
        <v>301522</v>
      </c>
      <c r="E76" s="1581">
        <f t="shared" si="1"/>
        <v>99.9907146410214</v>
      </c>
    </row>
    <row r="77" spans="1:7" s="1573" customFormat="1" ht="18.75" customHeight="1">
      <c r="A77" s="1595" t="s">
        <v>1561</v>
      </c>
      <c r="B77" s="1596" t="s">
        <v>842</v>
      </c>
      <c r="C77" s="1597">
        <f>SUM(C7+C8+C27+C31+C64+C67+C68+C71+C75+C76)</f>
        <v>20685735</v>
      </c>
      <c r="D77" s="1597">
        <f>SUM(D7+D8+D27+D31+D64+D67+D68+D71+D75+D76)</f>
        <v>18227282.2</v>
      </c>
      <c r="E77" s="1598">
        <f t="shared" si="1"/>
        <v>88.11522626583005</v>
      </c>
      <c r="G77" s="1599"/>
    </row>
    <row r="78" spans="1:5" s="1573" customFormat="1" ht="18.75" customHeight="1">
      <c r="A78" s="1578" t="s">
        <v>1562</v>
      </c>
      <c r="B78" s="1579" t="s">
        <v>843</v>
      </c>
      <c r="C78" s="1580">
        <f>SUM(C79,C80,C81,C82,C83,C84,C85,C86)</f>
        <v>16147276</v>
      </c>
      <c r="D78" s="1580">
        <f>SUM(D79,D80,D81,D82,D83,D84,D85,D86)</f>
        <v>14813439.7</v>
      </c>
      <c r="E78" s="1581">
        <f t="shared" si="1"/>
        <v>91.73955842459124</v>
      </c>
    </row>
    <row r="79" spans="1:5" ht="15.75" customHeight="1">
      <c r="A79" s="1574" t="s">
        <v>844</v>
      </c>
      <c r="B79" s="1575" t="s">
        <v>845</v>
      </c>
      <c r="C79" s="1576">
        <v>12132200</v>
      </c>
      <c r="D79" s="1576">
        <v>11721181.69</v>
      </c>
      <c r="E79" s="1577">
        <f t="shared" si="1"/>
        <v>96.61217001038558</v>
      </c>
    </row>
    <row r="80" spans="1:5" ht="30.75" customHeight="1">
      <c r="A80" s="1574" t="s">
        <v>846</v>
      </c>
      <c r="B80" s="1575" t="s">
        <v>847</v>
      </c>
      <c r="C80" s="1576">
        <v>1087462</v>
      </c>
      <c r="D80" s="1576">
        <v>1126620.38</v>
      </c>
      <c r="E80" s="1577">
        <f t="shared" si="1"/>
        <v>103.60089639913855</v>
      </c>
    </row>
    <row r="81" spans="1:5" ht="32.25" customHeight="1">
      <c r="A81" s="1574" t="s">
        <v>848</v>
      </c>
      <c r="B81" s="1575" t="s">
        <v>849</v>
      </c>
      <c r="C81" s="1576">
        <v>851754</v>
      </c>
      <c r="D81" s="1576">
        <v>762728.85</v>
      </c>
      <c r="E81" s="1577">
        <f t="shared" si="1"/>
        <v>89.5480209074451</v>
      </c>
    </row>
    <row r="82" spans="1:5" ht="21" customHeight="1">
      <c r="A82" s="1574" t="s">
        <v>850</v>
      </c>
      <c r="B82" s="1575" t="s">
        <v>851</v>
      </c>
      <c r="C82" s="1576">
        <v>560160</v>
      </c>
      <c r="D82" s="1576">
        <v>525526.46</v>
      </c>
      <c r="E82" s="1577">
        <f>D82/C82*100</f>
        <v>93.81720579834332</v>
      </c>
    </row>
    <row r="83" spans="1:5" ht="29.25" customHeight="1">
      <c r="A83" s="1574" t="s">
        <v>852</v>
      </c>
      <c r="B83" s="1575" t="s">
        <v>853</v>
      </c>
      <c r="C83" s="1576">
        <v>180000</v>
      </c>
      <c r="D83" s="1576">
        <v>131290.69</v>
      </c>
      <c r="E83" s="1577">
        <f t="shared" si="1"/>
        <v>72.93927222222223</v>
      </c>
    </row>
    <row r="84" spans="1:5" ht="63.75" customHeight="1" hidden="1">
      <c r="A84" s="1574" t="s">
        <v>854</v>
      </c>
      <c r="B84" s="1575" t="s">
        <v>855</v>
      </c>
      <c r="C84" s="1576">
        <v>0</v>
      </c>
      <c r="D84" s="1576">
        <v>0</v>
      </c>
      <c r="E84" s="1577" t="e">
        <f t="shared" si="1"/>
        <v>#DIV/0!</v>
      </c>
    </row>
    <row r="85" spans="1:5" ht="15.75" customHeight="1">
      <c r="A85" s="1574" t="s">
        <v>854</v>
      </c>
      <c r="B85" s="1575" t="s">
        <v>857</v>
      </c>
      <c r="C85" s="1576">
        <v>750000</v>
      </c>
      <c r="D85" s="1576">
        <v>178.5</v>
      </c>
      <c r="E85" s="1577">
        <f>D85/C85*100</f>
        <v>0.0238</v>
      </c>
    </row>
    <row r="86" spans="1:5" ht="18" customHeight="1">
      <c r="A86" s="1574" t="s">
        <v>856</v>
      </c>
      <c r="B86" s="1575" t="s">
        <v>858</v>
      </c>
      <c r="C86" s="1576">
        <v>585700</v>
      </c>
      <c r="D86" s="1576">
        <v>545913.13</v>
      </c>
      <c r="E86" s="1577">
        <f t="shared" si="1"/>
        <v>93.20695407205054</v>
      </c>
    </row>
    <row r="87" spans="1:5" ht="15.75" customHeight="1" hidden="1">
      <c r="A87" s="1574"/>
      <c r="B87" s="1583"/>
      <c r="C87" s="1600"/>
      <c r="D87" s="1584"/>
      <c r="E87" s="1577"/>
    </row>
    <row r="88" spans="1:5" s="1573" customFormat="1" ht="18.75" customHeight="1">
      <c r="A88" s="1595" t="s">
        <v>332</v>
      </c>
      <c r="B88" s="1596" t="s">
        <v>859</v>
      </c>
      <c r="C88" s="1597">
        <v>10000</v>
      </c>
      <c r="D88" s="1597">
        <v>19852.77</v>
      </c>
      <c r="E88" s="1598">
        <f t="shared" si="1"/>
        <v>198.52769999999998</v>
      </c>
    </row>
    <row r="89" spans="1:5" s="1573" customFormat="1" ht="18.75" customHeight="1">
      <c r="A89" s="1578" t="s">
        <v>1563</v>
      </c>
      <c r="B89" s="1579" t="s">
        <v>860</v>
      </c>
      <c r="C89" s="1580">
        <f>SUM(C90:C92)</f>
        <v>1375109</v>
      </c>
      <c r="D89" s="1580">
        <f>SUM(D90:D92)</f>
        <v>1383106.49</v>
      </c>
      <c r="E89" s="1581">
        <f t="shared" si="1"/>
        <v>100.58158953217526</v>
      </c>
    </row>
    <row r="90" spans="1:5" ht="15.75" customHeight="1">
      <c r="A90" s="1574" t="s">
        <v>861</v>
      </c>
      <c r="B90" s="1575" t="s">
        <v>862</v>
      </c>
      <c r="C90" s="1576">
        <v>303752</v>
      </c>
      <c r="D90" s="1576">
        <v>200078.83</v>
      </c>
      <c r="E90" s="1577">
        <f t="shared" si="1"/>
        <v>65.86913995628012</v>
      </c>
    </row>
    <row r="91" spans="1:5" ht="72" customHeight="1">
      <c r="A91" s="1574" t="s">
        <v>863</v>
      </c>
      <c r="B91" s="1575" t="s">
        <v>864</v>
      </c>
      <c r="C91" s="1576">
        <v>154606</v>
      </c>
      <c r="D91" s="1576">
        <v>124156.58</v>
      </c>
      <c r="E91" s="1577">
        <f t="shared" si="1"/>
        <v>80.30514986481766</v>
      </c>
    </row>
    <row r="92" spans="1:5" ht="15.75" customHeight="1">
      <c r="A92" s="1594" t="s">
        <v>865</v>
      </c>
      <c r="B92" s="1583" t="s">
        <v>866</v>
      </c>
      <c r="C92" s="1584">
        <v>916751</v>
      </c>
      <c r="D92" s="1584">
        <v>1058871.08</v>
      </c>
      <c r="E92" s="1585">
        <f t="shared" si="1"/>
        <v>115.50258248968368</v>
      </c>
    </row>
    <row r="93" spans="1:5" s="1573" customFormat="1" ht="18.75" customHeight="1">
      <c r="A93" s="1601" t="s">
        <v>1564</v>
      </c>
      <c r="B93" s="1596" t="s">
        <v>867</v>
      </c>
      <c r="C93" s="1597">
        <v>799000</v>
      </c>
      <c r="D93" s="1597">
        <v>662165.19</v>
      </c>
      <c r="E93" s="1598">
        <f t="shared" si="1"/>
        <v>82.87424155193992</v>
      </c>
    </row>
    <row r="94" spans="1:5" s="1573" customFormat="1" ht="18.75" customHeight="1">
      <c r="A94" s="1601" t="s">
        <v>1565</v>
      </c>
      <c r="B94" s="1602" t="s">
        <v>868</v>
      </c>
      <c r="C94" s="1597">
        <v>823500</v>
      </c>
      <c r="D94" s="1597">
        <v>231869.68</v>
      </c>
      <c r="E94" s="1598">
        <f t="shared" si="1"/>
        <v>28.156609593199754</v>
      </c>
    </row>
    <row r="95" spans="1:5" s="1573" customFormat="1" ht="18.75" customHeight="1" hidden="1">
      <c r="A95" s="1601" t="s">
        <v>1566</v>
      </c>
      <c r="B95" s="1602" t="s">
        <v>869</v>
      </c>
      <c r="C95" s="1603">
        <v>0</v>
      </c>
      <c r="D95" s="1597">
        <v>0</v>
      </c>
      <c r="E95" s="1605" t="s">
        <v>1195</v>
      </c>
    </row>
    <row r="96" spans="1:5" s="1573" customFormat="1" ht="18.75" customHeight="1" hidden="1">
      <c r="A96" s="1601" t="s">
        <v>1572</v>
      </c>
      <c r="B96" s="1602" t="s">
        <v>870</v>
      </c>
      <c r="C96" s="1603">
        <v>0</v>
      </c>
      <c r="D96" s="1597">
        <v>0</v>
      </c>
      <c r="E96" s="1605" t="s">
        <v>1195</v>
      </c>
    </row>
    <row r="97" spans="1:7" ht="18.75" customHeight="1">
      <c r="A97" s="1601" t="s">
        <v>1566</v>
      </c>
      <c r="B97" s="1602" t="s">
        <v>871</v>
      </c>
      <c r="C97" s="1603">
        <f>SUM(C77+C93+C94+C96)</f>
        <v>22308235</v>
      </c>
      <c r="D97" s="1597">
        <f>SUM(D77+D93+D94+D96)</f>
        <v>19121317.07</v>
      </c>
      <c r="E97" s="1598">
        <f t="shared" si="1"/>
        <v>85.71416371577581</v>
      </c>
      <c r="G97" s="1604"/>
    </row>
    <row r="98" spans="1:5" ht="18.75" customHeight="1">
      <c r="A98" s="1601" t="s">
        <v>1572</v>
      </c>
      <c r="B98" s="1602" t="s">
        <v>872</v>
      </c>
      <c r="C98" s="1597">
        <f>SUM(C78+C88+C89+C95)</f>
        <v>17532385</v>
      </c>
      <c r="D98" s="1597">
        <f>SUM(D78+D88+D89+D95)</f>
        <v>16216398.959999999</v>
      </c>
      <c r="E98" s="1598">
        <f t="shared" si="1"/>
        <v>92.49397021568942</v>
      </c>
    </row>
    <row r="99" spans="1:5" ht="18.75" customHeight="1">
      <c r="A99" s="1601" t="s">
        <v>1573</v>
      </c>
      <c r="B99" s="1602" t="s">
        <v>873</v>
      </c>
      <c r="C99" s="1603">
        <v>0</v>
      </c>
      <c r="D99" s="1597">
        <v>69323.53</v>
      </c>
      <c r="E99" s="1605" t="s">
        <v>1195</v>
      </c>
    </row>
    <row r="100" spans="1:5" ht="18.75" customHeight="1" thickBot="1">
      <c r="A100" s="1606" t="s">
        <v>1574</v>
      </c>
      <c r="B100" s="1607" t="s">
        <v>874</v>
      </c>
      <c r="C100" s="1608">
        <f>SUM(C98-C97+C99)</f>
        <v>-4775850</v>
      </c>
      <c r="D100" s="1608">
        <f>SUM(D98-D97+D99)</f>
        <v>-2835594.5800000015</v>
      </c>
      <c r="E100" s="1609" t="s">
        <v>1195</v>
      </c>
    </row>
  </sheetData>
  <sheetProtection password="CF53" sheet="1" formatRows="0" insertColumns="0" insertRows="0" insertHyperlinks="0" deleteColumns="0" deleteRows="0" sort="0" autoFilter="0" pivotTables="0"/>
  <mergeCells count="2">
    <mergeCell ref="D1:E1"/>
    <mergeCell ref="A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E58"/>
  <sheetViews>
    <sheetView view="pageBreakPreview" zoomScaleSheetLayoutView="100" zoomScalePageLayoutView="0" workbookViewId="0" topLeftCell="A1">
      <pane ySplit="7" topLeftCell="A44" activePane="bottomLeft" state="frozen"/>
      <selection pane="topLeft" activeCell="I244" sqref="I244"/>
      <selection pane="bottomLeft" activeCell="D61" sqref="D61"/>
    </sheetView>
  </sheetViews>
  <sheetFormatPr defaultColWidth="9.00390625" defaultRowHeight="12.75"/>
  <cols>
    <col min="1" max="1" width="5.125" style="1610" customWidth="1"/>
    <col min="2" max="2" width="38.125" style="1611" customWidth="1"/>
    <col min="3" max="3" width="18.25390625" style="1555" customWidth="1"/>
    <col min="4" max="4" width="16.25390625" style="1555" customWidth="1"/>
    <col min="5" max="5" width="8.00390625" style="1611" customWidth="1"/>
    <col min="6" max="16384" width="9.125" style="1611" customWidth="1"/>
  </cols>
  <sheetData>
    <row r="1" spans="4:5" ht="12.75">
      <c r="D1" s="2168" t="s">
        <v>875</v>
      </c>
      <c r="E1" s="2168"/>
    </row>
    <row r="2" ht="39.75" customHeight="1"/>
    <row r="3" spans="1:5" ht="26.25" customHeight="1">
      <c r="A3" s="2170" t="s">
        <v>876</v>
      </c>
      <c r="B3" s="2170"/>
      <c r="C3" s="2170"/>
      <c r="D3" s="2170"/>
      <c r="E3" s="2170"/>
    </row>
    <row r="4" spans="1:5" ht="9" customHeight="1">
      <c r="A4" s="1612"/>
      <c r="B4" s="1612"/>
      <c r="C4" s="1612"/>
      <c r="D4" s="1612"/>
      <c r="E4" s="1612"/>
    </row>
    <row r="5" spans="4:5" ht="13.5" thickBot="1">
      <c r="D5" s="1556"/>
      <c r="E5" s="1556" t="s">
        <v>208</v>
      </c>
    </row>
    <row r="6" spans="1:5" s="1610" customFormat="1" ht="15" customHeight="1">
      <c r="A6" s="1613" t="s">
        <v>1219</v>
      </c>
      <c r="B6" s="1614" t="s">
        <v>210</v>
      </c>
      <c r="C6" s="1560" t="s">
        <v>211</v>
      </c>
      <c r="D6" s="1560" t="s">
        <v>212</v>
      </c>
      <c r="E6" s="1615" t="s">
        <v>213</v>
      </c>
    </row>
    <row r="7" spans="1:5" s="1619" customFormat="1" ht="12" customHeight="1" thickBot="1">
      <c r="A7" s="1616">
        <v>1</v>
      </c>
      <c r="B7" s="1617">
        <v>2</v>
      </c>
      <c r="C7" s="1565">
        <v>3</v>
      </c>
      <c r="D7" s="1565">
        <v>4</v>
      </c>
      <c r="E7" s="1618">
        <v>5</v>
      </c>
    </row>
    <row r="8" spans="1:5" s="1623" customFormat="1" ht="18.75" customHeight="1">
      <c r="A8" s="1620" t="s">
        <v>1222</v>
      </c>
      <c r="B8" s="1621" t="s">
        <v>1453</v>
      </c>
      <c r="C8" s="1570">
        <v>65600</v>
      </c>
      <c r="D8" s="1570">
        <v>65591.72</v>
      </c>
      <c r="E8" s="1622">
        <f aca="true" t="shared" si="0" ref="E8:E57">D8/C8*100</f>
        <v>99.98737804878049</v>
      </c>
    </row>
    <row r="9" spans="1:5" s="1623" customFormat="1" ht="18.75" customHeight="1">
      <c r="A9" s="1624" t="s">
        <v>1223</v>
      </c>
      <c r="B9" s="1625" t="s">
        <v>1454</v>
      </c>
      <c r="C9" s="1626">
        <f>SUM(C10:C15)</f>
        <v>141800</v>
      </c>
      <c r="D9" s="1588">
        <f>SUM(D10:D15)</f>
        <v>134493.62</v>
      </c>
      <c r="E9" s="1627">
        <f t="shared" si="0"/>
        <v>94.8474047954866</v>
      </c>
    </row>
    <row r="10" spans="1:5" ht="15" customHeight="1">
      <c r="A10" s="1628" t="s">
        <v>50</v>
      </c>
      <c r="B10" s="1629" t="s">
        <v>877</v>
      </c>
      <c r="C10" s="1630">
        <v>51024</v>
      </c>
      <c r="D10" s="1631">
        <v>46660.11</v>
      </c>
      <c r="E10" s="1632">
        <f t="shared" si="0"/>
        <v>91.44737770460961</v>
      </c>
    </row>
    <row r="11" spans="1:5" ht="15" customHeight="1">
      <c r="A11" s="1628" t="s">
        <v>51</v>
      </c>
      <c r="B11" s="1629" t="s">
        <v>1086</v>
      </c>
      <c r="C11" s="1630">
        <v>67500</v>
      </c>
      <c r="D11" s="1631">
        <v>65531.87</v>
      </c>
      <c r="E11" s="1632">
        <f t="shared" si="0"/>
        <v>97.08425185185186</v>
      </c>
    </row>
    <row r="12" spans="1:5" ht="15" customHeight="1" hidden="1">
      <c r="A12" s="1628" t="s">
        <v>53</v>
      </c>
      <c r="B12" s="1629" t="s">
        <v>878</v>
      </c>
      <c r="C12" s="1630">
        <v>0</v>
      </c>
      <c r="D12" s="1631">
        <v>0</v>
      </c>
      <c r="E12" s="1632" t="e">
        <f t="shared" si="0"/>
        <v>#DIV/0!</v>
      </c>
    </row>
    <row r="13" spans="1:5" ht="15" customHeight="1">
      <c r="A13" s="1628" t="s">
        <v>53</v>
      </c>
      <c r="B13" s="1629" t="s">
        <v>879</v>
      </c>
      <c r="C13" s="1630">
        <v>11510</v>
      </c>
      <c r="D13" s="1631">
        <v>11509.31</v>
      </c>
      <c r="E13" s="1632">
        <f t="shared" si="0"/>
        <v>99.99400521285838</v>
      </c>
    </row>
    <row r="14" spans="1:5" ht="15" customHeight="1">
      <c r="A14" s="1628" t="s">
        <v>1458</v>
      </c>
      <c r="B14" s="1629" t="s">
        <v>880</v>
      </c>
      <c r="C14" s="1630">
        <v>7600</v>
      </c>
      <c r="D14" s="1631">
        <v>7599.55</v>
      </c>
      <c r="E14" s="1632">
        <f t="shared" si="0"/>
        <v>99.99407894736842</v>
      </c>
    </row>
    <row r="15" spans="1:5" ht="15" customHeight="1">
      <c r="A15" s="1633" t="s">
        <v>1460</v>
      </c>
      <c r="B15" s="1634" t="s">
        <v>459</v>
      </c>
      <c r="C15" s="1635">
        <v>4166</v>
      </c>
      <c r="D15" s="1636">
        <v>3192.78</v>
      </c>
      <c r="E15" s="1637">
        <f t="shared" si="0"/>
        <v>76.63898223715795</v>
      </c>
    </row>
    <row r="16" spans="1:5" s="1623" customFormat="1" ht="18.75" customHeight="1">
      <c r="A16" s="1624" t="s">
        <v>1548</v>
      </c>
      <c r="B16" s="1638" t="s">
        <v>490</v>
      </c>
      <c r="C16" s="1639">
        <f>SUM(C17:C19)</f>
        <v>147000</v>
      </c>
      <c r="D16" s="1639">
        <f>SUM(D17:D19)</f>
        <v>134797.32</v>
      </c>
      <c r="E16" s="1627">
        <f t="shared" si="0"/>
        <v>91.69885714285715</v>
      </c>
    </row>
    <row r="17" spans="1:5" ht="15" customHeight="1">
      <c r="A17" s="1628" t="s">
        <v>1272</v>
      </c>
      <c r="B17" s="1629" t="s">
        <v>491</v>
      </c>
      <c r="C17" s="1640">
        <v>38000</v>
      </c>
      <c r="D17" s="1640">
        <v>32674.51</v>
      </c>
      <c r="E17" s="1632">
        <f t="shared" si="0"/>
        <v>85.98555263157894</v>
      </c>
    </row>
    <row r="18" spans="1:5" ht="15" customHeight="1">
      <c r="A18" s="1628" t="s">
        <v>1273</v>
      </c>
      <c r="B18" s="1629" t="s">
        <v>492</v>
      </c>
      <c r="C18" s="1640">
        <v>25800</v>
      </c>
      <c r="D18" s="1640">
        <v>19010.01</v>
      </c>
      <c r="E18" s="1632">
        <f t="shared" si="0"/>
        <v>73.68220930232557</v>
      </c>
    </row>
    <row r="19" spans="1:5" ht="15" customHeight="1">
      <c r="A19" s="1633" t="s">
        <v>1274</v>
      </c>
      <c r="B19" s="1634" t="s">
        <v>881</v>
      </c>
      <c r="C19" s="1641">
        <v>83200</v>
      </c>
      <c r="D19" s="1642">
        <v>83112.8</v>
      </c>
      <c r="E19" s="1637">
        <f t="shared" si="0"/>
        <v>99.89519230769231</v>
      </c>
    </row>
    <row r="20" spans="1:5" s="1623" customFormat="1" ht="18.75" customHeight="1">
      <c r="A20" s="1624" t="s">
        <v>1555</v>
      </c>
      <c r="B20" s="1638" t="s">
        <v>494</v>
      </c>
      <c r="C20" s="1643">
        <f>SUM(C21:C30)</f>
        <v>417530</v>
      </c>
      <c r="D20" s="1643">
        <f>SUM(D21:D30)</f>
        <v>409938.66</v>
      </c>
      <c r="E20" s="1627">
        <f t="shared" si="0"/>
        <v>98.18184561588387</v>
      </c>
    </row>
    <row r="21" spans="1:5" ht="15" customHeight="1">
      <c r="A21" s="1628" t="s">
        <v>1275</v>
      </c>
      <c r="B21" s="1629" t="s">
        <v>882</v>
      </c>
      <c r="C21" s="1640">
        <v>3650</v>
      </c>
      <c r="D21" s="1640">
        <v>3480.99</v>
      </c>
      <c r="E21" s="1632">
        <f t="shared" si="0"/>
        <v>95.36958904109588</v>
      </c>
    </row>
    <row r="22" spans="1:5" ht="15" customHeight="1">
      <c r="A22" s="1628" t="s">
        <v>1276</v>
      </c>
      <c r="B22" s="1629" t="s">
        <v>501</v>
      </c>
      <c r="C22" s="1640">
        <v>36650</v>
      </c>
      <c r="D22" s="1640">
        <v>36649.08</v>
      </c>
      <c r="E22" s="1632">
        <f>D22/C22*100</f>
        <v>99.9974897680764</v>
      </c>
    </row>
    <row r="23" spans="1:5" ht="15" customHeight="1">
      <c r="A23" s="1628" t="s">
        <v>1277</v>
      </c>
      <c r="B23" s="1629" t="s">
        <v>883</v>
      </c>
      <c r="C23" s="1640">
        <v>144596</v>
      </c>
      <c r="D23" s="1640">
        <v>142220.81</v>
      </c>
      <c r="E23" s="1632">
        <f t="shared" si="0"/>
        <v>98.35736119947993</v>
      </c>
    </row>
    <row r="24" spans="1:5" ht="15" customHeight="1">
      <c r="A24" s="1628" t="s">
        <v>714</v>
      </c>
      <c r="B24" s="1629" t="s">
        <v>496</v>
      </c>
      <c r="C24" s="1640">
        <v>12000</v>
      </c>
      <c r="D24" s="1640">
        <v>8266.74</v>
      </c>
      <c r="E24" s="1632">
        <f t="shared" si="0"/>
        <v>68.8895</v>
      </c>
    </row>
    <row r="25" spans="1:5" ht="15" customHeight="1">
      <c r="A25" s="1628" t="s">
        <v>715</v>
      </c>
      <c r="B25" s="1629" t="s">
        <v>884</v>
      </c>
      <c r="C25" s="1640">
        <v>20060</v>
      </c>
      <c r="D25" s="1640">
        <v>20057.86</v>
      </c>
      <c r="E25" s="1632">
        <f t="shared" si="0"/>
        <v>99.98933200398804</v>
      </c>
    </row>
    <row r="26" spans="1:5" ht="15" customHeight="1">
      <c r="A26" s="1628" t="s">
        <v>726</v>
      </c>
      <c r="B26" s="1629" t="s">
        <v>885</v>
      </c>
      <c r="C26" s="1644">
        <v>64349</v>
      </c>
      <c r="D26" s="1640">
        <v>64347</v>
      </c>
      <c r="E26" s="1632">
        <f t="shared" si="0"/>
        <v>99.99689194859283</v>
      </c>
    </row>
    <row r="27" spans="1:5" ht="15" customHeight="1">
      <c r="A27" s="1628" t="s">
        <v>727</v>
      </c>
      <c r="B27" s="1629" t="s">
        <v>886</v>
      </c>
      <c r="C27" s="1644">
        <v>7000</v>
      </c>
      <c r="D27" s="1640">
        <v>6585</v>
      </c>
      <c r="E27" s="1632">
        <f t="shared" si="0"/>
        <v>94.07142857142857</v>
      </c>
    </row>
    <row r="28" spans="1:5" ht="15" customHeight="1">
      <c r="A28" s="1628" t="s">
        <v>728</v>
      </c>
      <c r="B28" s="1629" t="s">
        <v>887</v>
      </c>
      <c r="C28" s="1644">
        <v>59400</v>
      </c>
      <c r="D28" s="1640">
        <v>58500</v>
      </c>
      <c r="E28" s="1632">
        <f t="shared" si="0"/>
        <v>98.48484848484848</v>
      </c>
    </row>
    <row r="29" spans="1:5" ht="15" customHeight="1">
      <c r="A29" s="1628" t="s">
        <v>729</v>
      </c>
      <c r="B29" s="1629" t="s">
        <v>888</v>
      </c>
      <c r="C29" s="1644">
        <v>29508</v>
      </c>
      <c r="D29" s="1640">
        <v>29515.13</v>
      </c>
      <c r="E29" s="1632">
        <f t="shared" si="0"/>
        <v>100.02416293886405</v>
      </c>
    </row>
    <row r="30" spans="1:5" ht="14.25" customHeight="1">
      <c r="A30" s="1628" t="s">
        <v>420</v>
      </c>
      <c r="B30" s="1634" t="s">
        <v>889</v>
      </c>
      <c r="C30" s="1645">
        <v>40317</v>
      </c>
      <c r="D30" s="1642">
        <v>40316.05</v>
      </c>
      <c r="E30" s="1637">
        <f t="shared" si="0"/>
        <v>99.99764367388447</v>
      </c>
    </row>
    <row r="31" spans="1:5" ht="15" customHeight="1" hidden="1">
      <c r="A31" s="1628" t="s">
        <v>726</v>
      </c>
      <c r="B31" s="1629" t="s">
        <v>508</v>
      </c>
      <c r="C31" s="1640">
        <v>48560</v>
      </c>
      <c r="D31" s="1640">
        <v>48560</v>
      </c>
      <c r="E31" s="1632">
        <f t="shared" si="0"/>
        <v>100</v>
      </c>
    </row>
    <row r="32" spans="1:5" s="1623" customFormat="1" ht="18.75" customHeight="1">
      <c r="A32" s="1624" t="s">
        <v>1556</v>
      </c>
      <c r="B32" s="1638" t="s">
        <v>1794</v>
      </c>
      <c r="C32" s="1643">
        <f>SUM(C33,C34,C35)</f>
        <v>705000</v>
      </c>
      <c r="D32" s="1643">
        <f>SUM(D33,D34,D35)</f>
        <v>690706.8</v>
      </c>
      <c r="E32" s="1627">
        <f t="shared" si="0"/>
        <v>97.97259574468086</v>
      </c>
    </row>
    <row r="33" spans="1:5" ht="15" customHeight="1">
      <c r="A33" s="1633" t="s">
        <v>730</v>
      </c>
      <c r="B33" s="1634" t="s">
        <v>890</v>
      </c>
      <c r="C33" s="1642">
        <v>550000</v>
      </c>
      <c r="D33" s="1642">
        <v>535771.8</v>
      </c>
      <c r="E33" s="1637">
        <f t="shared" si="0"/>
        <v>97.41305454545456</v>
      </c>
    </row>
    <row r="34" spans="1:5" ht="15" customHeight="1" hidden="1">
      <c r="A34" s="1633" t="s">
        <v>731</v>
      </c>
      <c r="B34" s="1634" t="s">
        <v>891</v>
      </c>
      <c r="C34" s="1642">
        <v>0</v>
      </c>
      <c r="D34" s="1642">
        <v>0</v>
      </c>
      <c r="E34" s="1637" t="e">
        <f t="shared" si="0"/>
        <v>#DIV/0!</v>
      </c>
    </row>
    <row r="35" spans="1:5" ht="15" customHeight="1">
      <c r="A35" s="1633" t="s">
        <v>731</v>
      </c>
      <c r="B35" s="1634" t="s">
        <v>892</v>
      </c>
      <c r="C35" s="1642">
        <v>155000</v>
      </c>
      <c r="D35" s="1642">
        <v>154935</v>
      </c>
      <c r="E35" s="1637">
        <f t="shared" si="0"/>
        <v>99.95806451612903</v>
      </c>
    </row>
    <row r="36" spans="1:5" ht="18.75" customHeight="1">
      <c r="A36" s="1646" t="s">
        <v>1557</v>
      </c>
      <c r="B36" s="1647" t="s">
        <v>1797</v>
      </c>
      <c r="C36" s="1648">
        <v>129300</v>
      </c>
      <c r="D36" s="1648">
        <v>129203.44</v>
      </c>
      <c r="E36" s="1649">
        <f t="shared" si="0"/>
        <v>99.92532095901005</v>
      </c>
    </row>
    <row r="37" spans="1:5" ht="25.5" customHeight="1">
      <c r="A37" s="1646" t="s">
        <v>329</v>
      </c>
      <c r="B37" s="1647" t="s">
        <v>1798</v>
      </c>
      <c r="C37" s="1648">
        <v>20010</v>
      </c>
      <c r="D37" s="1648">
        <v>20001.3</v>
      </c>
      <c r="E37" s="1649">
        <f t="shared" si="0"/>
        <v>99.95652173913044</v>
      </c>
    </row>
    <row r="38" spans="1:5" s="1623" customFormat="1" ht="18.75" customHeight="1">
      <c r="A38" s="1624" t="s">
        <v>330</v>
      </c>
      <c r="B38" s="1638" t="s">
        <v>834</v>
      </c>
      <c r="C38" s="1643">
        <f>SUM(C39,C40)</f>
        <v>13796</v>
      </c>
      <c r="D38" s="1643">
        <f>SUM(D39,D40)</f>
        <v>13792.34</v>
      </c>
      <c r="E38" s="1627">
        <f t="shared" si="0"/>
        <v>99.97347057118006</v>
      </c>
    </row>
    <row r="39" spans="1:5" ht="15" customHeight="1">
      <c r="A39" s="1628" t="s">
        <v>835</v>
      </c>
      <c r="B39" s="1629" t="s">
        <v>836</v>
      </c>
      <c r="C39" s="1640">
        <v>12246</v>
      </c>
      <c r="D39" s="1640">
        <v>12246</v>
      </c>
      <c r="E39" s="1632">
        <f t="shared" si="0"/>
        <v>100</v>
      </c>
    </row>
    <row r="40" spans="1:5" ht="15" customHeight="1">
      <c r="A40" s="1633" t="s">
        <v>837</v>
      </c>
      <c r="B40" s="1634" t="s">
        <v>893</v>
      </c>
      <c r="C40" s="1642">
        <v>1550</v>
      </c>
      <c r="D40" s="1642">
        <v>1546.34</v>
      </c>
      <c r="E40" s="1637">
        <f t="shared" si="0"/>
        <v>99.76387096774192</v>
      </c>
    </row>
    <row r="41" spans="1:5" s="1623" customFormat="1" ht="18.75" customHeight="1">
      <c r="A41" s="1646" t="s">
        <v>1558</v>
      </c>
      <c r="B41" s="1647" t="s">
        <v>894</v>
      </c>
      <c r="C41" s="1648">
        <v>4500</v>
      </c>
      <c r="D41" s="1648">
        <v>4498.7</v>
      </c>
      <c r="E41" s="1649">
        <f t="shared" si="0"/>
        <v>99.97111111111111</v>
      </c>
    </row>
    <row r="42" spans="1:5" s="1623" customFormat="1" ht="18.75" customHeight="1">
      <c r="A42" s="1646" t="s">
        <v>1560</v>
      </c>
      <c r="B42" s="1647" t="s">
        <v>895</v>
      </c>
      <c r="C42" s="1648">
        <v>224</v>
      </c>
      <c r="D42" s="1648">
        <v>224</v>
      </c>
      <c r="E42" s="1649">
        <f t="shared" si="0"/>
        <v>100</v>
      </c>
    </row>
    <row r="43" spans="1:5" s="1623" customFormat="1" ht="21.75" customHeight="1">
      <c r="A43" s="1646" t="s">
        <v>331</v>
      </c>
      <c r="B43" s="1647" t="s">
        <v>896</v>
      </c>
      <c r="C43" s="1648">
        <v>10900</v>
      </c>
      <c r="D43" s="1648">
        <v>10868</v>
      </c>
      <c r="E43" s="1649">
        <f t="shared" si="0"/>
        <v>99.70642201834863</v>
      </c>
    </row>
    <row r="44" spans="1:5" s="1623" customFormat="1" ht="21.75" customHeight="1">
      <c r="A44" s="1646" t="s">
        <v>1561</v>
      </c>
      <c r="B44" s="1650" t="s">
        <v>867</v>
      </c>
      <c r="C44" s="1648">
        <v>4400</v>
      </c>
      <c r="D44" s="1648">
        <v>4339.42</v>
      </c>
      <c r="E44" s="1649">
        <f t="shared" si="0"/>
        <v>98.62318181818182</v>
      </c>
    </row>
    <row r="45" spans="1:5" s="1623" customFormat="1" ht="21.75" customHeight="1">
      <c r="A45" s="1646" t="s">
        <v>1562</v>
      </c>
      <c r="B45" s="1650" t="s">
        <v>868</v>
      </c>
      <c r="C45" s="1648">
        <v>25</v>
      </c>
      <c r="D45" s="1648">
        <v>24.6</v>
      </c>
      <c r="E45" s="1649">
        <f t="shared" si="0"/>
        <v>98.4</v>
      </c>
    </row>
    <row r="46" spans="1:5" s="1623" customFormat="1" ht="18.75" customHeight="1">
      <c r="A46" s="1646" t="s">
        <v>332</v>
      </c>
      <c r="B46" s="1647" t="s">
        <v>897</v>
      </c>
      <c r="C46" s="1648">
        <f>C45+C44+C43+C42+C41+C32+C38+C37+C36+C20+C16+C9+C8</f>
        <v>1660085</v>
      </c>
      <c r="D46" s="1648">
        <f>D45+D44+D43+D42+D41+D32+D38+D37+D36+D20+D16+D9+D8</f>
        <v>1618479.9200000002</v>
      </c>
      <c r="E46" s="1649">
        <f t="shared" si="0"/>
        <v>97.49379820912786</v>
      </c>
    </row>
    <row r="47" spans="1:5" s="1623" customFormat="1" ht="18.75" customHeight="1">
      <c r="A47" s="1624" t="s">
        <v>1563</v>
      </c>
      <c r="B47" s="1638" t="s">
        <v>843</v>
      </c>
      <c r="C47" s="1643">
        <f>SUM(C48:C50)</f>
        <v>1368646</v>
      </c>
      <c r="D47" s="1643">
        <f>SUM(D48:D50)</f>
        <v>1370850.48</v>
      </c>
      <c r="E47" s="1627">
        <f t="shared" si="0"/>
        <v>100.16107013793194</v>
      </c>
    </row>
    <row r="48" spans="1:5" ht="15" customHeight="1">
      <c r="A48" s="1628" t="s">
        <v>861</v>
      </c>
      <c r="B48" s="1629" t="s">
        <v>898</v>
      </c>
      <c r="C48" s="1640">
        <v>908340</v>
      </c>
      <c r="D48" s="1640">
        <v>910571.25</v>
      </c>
      <c r="E48" s="1632">
        <f t="shared" si="0"/>
        <v>100.24564039896956</v>
      </c>
    </row>
    <row r="49" spans="1:5" ht="27" customHeight="1">
      <c r="A49" s="1628" t="s">
        <v>863</v>
      </c>
      <c r="B49" s="1629" t="s">
        <v>899</v>
      </c>
      <c r="C49" s="1640">
        <v>113850</v>
      </c>
      <c r="D49" s="1640">
        <v>113827.95</v>
      </c>
      <c r="E49" s="1632">
        <f t="shared" si="0"/>
        <v>99.98063241106719</v>
      </c>
    </row>
    <row r="50" spans="1:5" ht="15" customHeight="1">
      <c r="A50" s="1633" t="s">
        <v>865</v>
      </c>
      <c r="B50" s="1634" t="s">
        <v>900</v>
      </c>
      <c r="C50" s="1642">
        <v>346456</v>
      </c>
      <c r="D50" s="1642">
        <v>346451.28</v>
      </c>
      <c r="E50" s="1637">
        <f t="shared" si="0"/>
        <v>99.99863763363891</v>
      </c>
    </row>
    <row r="51" spans="1:5" s="1623" customFormat="1" ht="18.75" customHeight="1">
      <c r="A51" s="1620" t="s">
        <v>1564</v>
      </c>
      <c r="B51" s="1650" t="s">
        <v>859</v>
      </c>
      <c r="C51" s="1651">
        <v>5</v>
      </c>
      <c r="D51" s="1651">
        <v>1.16</v>
      </c>
      <c r="E51" s="1649">
        <f t="shared" si="0"/>
        <v>23.2</v>
      </c>
    </row>
    <row r="52" spans="1:5" s="1623" customFormat="1" ht="18.75" customHeight="1">
      <c r="A52" s="1624" t="s">
        <v>1565</v>
      </c>
      <c r="B52" s="1638" t="s">
        <v>901</v>
      </c>
      <c r="C52" s="1643">
        <f>SUM(C53,C54)</f>
        <v>101434</v>
      </c>
      <c r="D52" s="1643">
        <f>SUM(D53,D54)</f>
        <v>101432.28</v>
      </c>
      <c r="E52" s="1652">
        <f t="shared" si="0"/>
        <v>99.99830431610702</v>
      </c>
    </row>
    <row r="53" spans="1:5" ht="15" customHeight="1">
      <c r="A53" s="1628" t="s">
        <v>902</v>
      </c>
      <c r="B53" s="1629" t="s">
        <v>903</v>
      </c>
      <c r="C53" s="1640">
        <v>29054</v>
      </c>
      <c r="D53" s="1640">
        <v>29054</v>
      </c>
      <c r="E53" s="1632">
        <f t="shared" si="0"/>
        <v>100</v>
      </c>
    </row>
    <row r="54" spans="1:5" ht="15" customHeight="1">
      <c r="A54" s="1628" t="s">
        <v>904</v>
      </c>
      <c r="B54" s="1634" t="s">
        <v>880</v>
      </c>
      <c r="C54" s="1642">
        <v>72380</v>
      </c>
      <c r="D54" s="1642">
        <v>72378.28</v>
      </c>
      <c r="E54" s="1632">
        <f t="shared" si="0"/>
        <v>99.9976236529428</v>
      </c>
    </row>
    <row r="55" spans="1:5" s="1623" customFormat="1" ht="18.75" customHeight="1">
      <c r="A55" s="1646" t="s">
        <v>1566</v>
      </c>
      <c r="B55" s="1647" t="s">
        <v>872</v>
      </c>
      <c r="C55" s="1648">
        <f>SUM(C47+C51+C52)</f>
        <v>1470085</v>
      </c>
      <c r="D55" s="1648">
        <f>SUM(D47+D51+D52)</f>
        <v>1472283.92</v>
      </c>
      <c r="E55" s="1649">
        <f t="shared" si="0"/>
        <v>100.1495777455045</v>
      </c>
    </row>
    <row r="56" spans="1:5" s="1623" customFormat="1" ht="18.75" customHeight="1" hidden="1">
      <c r="A56" s="1624" t="s">
        <v>1572</v>
      </c>
      <c r="B56" s="1638" t="s">
        <v>869</v>
      </c>
      <c r="C56" s="1643">
        <v>0</v>
      </c>
      <c r="D56" s="1643">
        <v>0</v>
      </c>
      <c r="E56" s="1649" t="e">
        <f t="shared" si="0"/>
        <v>#DIV/0!</v>
      </c>
    </row>
    <row r="57" spans="1:5" s="1623" customFormat="1" ht="18.75" customHeight="1" hidden="1">
      <c r="A57" s="1653" t="s">
        <v>1573</v>
      </c>
      <c r="B57" s="1654" t="s">
        <v>873</v>
      </c>
      <c r="C57" s="1603">
        <v>0</v>
      </c>
      <c r="D57" s="1597">
        <v>0</v>
      </c>
      <c r="E57" s="1649" t="e">
        <f t="shared" si="0"/>
        <v>#DIV/0!</v>
      </c>
    </row>
    <row r="58" spans="1:5" s="1623" customFormat="1" ht="18.75" customHeight="1" thickBot="1">
      <c r="A58" s="1655" t="s">
        <v>1574</v>
      </c>
      <c r="B58" s="1656" t="s">
        <v>874</v>
      </c>
      <c r="C58" s="1608">
        <f>C55-C46+C57</f>
        <v>-190000</v>
      </c>
      <c r="D58" s="1608">
        <f>SUM(D55-D46+D57)</f>
        <v>-146196.00000000023</v>
      </c>
      <c r="E58" s="1657" t="s">
        <v>1195</v>
      </c>
    </row>
  </sheetData>
  <sheetProtection password="CF53" sheet="1" formatRows="0" insertColumns="0" insertRows="0" insertHyperlinks="0" deleteColumns="0" deleteRows="0" sort="0" autoFilter="0" pivotTables="0"/>
  <mergeCells count="2">
    <mergeCell ref="D1:E1"/>
    <mergeCell ref="A3:E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B268"/>
  <sheetViews>
    <sheetView zoomScalePageLayoutView="0" workbookViewId="0" topLeftCell="A1">
      <selection activeCell="AA1" sqref="AA1:AB1"/>
    </sheetView>
  </sheetViews>
  <sheetFormatPr defaultColWidth="9.00390625" defaultRowHeight="12.75"/>
  <cols>
    <col min="1" max="1" width="6.75390625" style="1910" customWidth="1"/>
    <col min="2" max="2" width="39.875" style="1911" customWidth="1"/>
    <col min="3" max="3" width="12.375" style="1909" customWidth="1"/>
    <col min="4" max="4" width="6.75390625" style="1909" customWidth="1"/>
    <col min="5" max="5" width="7.00390625" style="1909" customWidth="1"/>
    <col min="6" max="6" width="11.375" style="1909" customWidth="1"/>
    <col min="7" max="7" width="10.75390625" style="1909" hidden="1" customWidth="1"/>
    <col min="8" max="8" width="9.875" style="1909" hidden="1" customWidth="1"/>
    <col min="9" max="9" width="10.00390625" style="1909" customWidth="1"/>
    <col min="10" max="11" width="10.375" style="1909" hidden="1" customWidth="1"/>
    <col min="12" max="13" width="10.00390625" style="1909" hidden="1" customWidth="1"/>
    <col min="14" max="14" width="10.125" style="1909" hidden="1" customWidth="1"/>
    <col min="15" max="15" width="9.625" style="1909" hidden="1" customWidth="1"/>
    <col min="16" max="24" width="9.125" style="1909" hidden="1" customWidth="1"/>
    <col min="25" max="25" width="12.00390625" style="1912" hidden="1" customWidth="1"/>
    <col min="26" max="27" width="12.00390625" style="1912" customWidth="1"/>
    <col min="28" max="16384" width="9.125" style="1909" customWidth="1"/>
  </cols>
  <sheetData>
    <row r="1" spans="27:28" ht="12.75">
      <c r="AA1" s="2171" t="s">
        <v>1364</v>
      </c>
      <c r="AB1" s="2172"/>
    </row>
    <row r="2" spans="1:27" s="1848" customFormat="1" ht="67.5" customHeight="1">
      <c r="A2" s="2179" t="s">
        <v>1285</v>
      </c>
      <c r="B2" s="2179"/>
      <c r="C2" s="2179"/>
      <c r="D2" s="2179"/>
      <c r="E2" s="2179"/>
      <c r="F2" s="2179"/>
      <c r="G2" s="2179"/>
      <c r="H2" s="2179"/>
      <c r="I2" s="2179"/>
      <c r="J2" s="2179"/>
      <c r="K2" s="2179"/>
      <c r="L2" s="2179"/>
      <c r="M2" s="2179"/>
      <c r="N2" s="2179"/>
      <c r="O2" s="2179"/>
      <c r="P2" s="2179"/>
      <c r="Q2" s="2179"/>
      <c r="R2" s="2179"/>
      <c r="S2" s="2179"/>
      <c r="T2" s="2179"/>
      <c r="U2" s="2179"/>
      <c r="V2" s="2179"/>
      <c r="W2" s="2179"/>
      <c r="X2" s="2179"/>
      <c r="Y2" s="2179"/>
      <c r="Z2" s="2179"/>
      <c r="AA2" s="2179"/>
    </row>
    <row r="3" spans="1:27" s="1851" customFormat="1" ht="42" customHeight="1">
      <c r="A3" s="2180" t="s">
        <v>1219</v>
      </c>
      <c r="B3" s="2181" t="s">
        <v>1286</v>
      </c>
      <c r="C3" s="2182" t="s">
        <v>1287</v>
      </c>
      <c r="D3" s="2181" t="s">
        <v>1288</v>
      </c>
      <c r="E3" s="2181"/>
      <c r="F3" s="2181" t="s">
        <v>1289</v>
      </c>
      <c r="G3" s="1849"/>
      <c r="H3" s="2181" t="s">
        <v>1290</v>
      </c>
      <c r="I3" s="2181"/>
      <c r="J3" s="2181"/>
      <c r="K3" s="2181"/>
      <c r="L3" s="2181"/>
      <c r="M3" s="2181"/>
      <c r="N3" s="2181"/>
      <c r="O3" s="2181"/>
      <c r="P3" s="2181"/>
      <c r="Q3" s="1850"/>
      <c r="R3" s="1850"/>
      <c r="S3" s="1850"/>
      <c r="T3" s="1850"/>
      <c r="U3" s="1850"/>
      <c r="V3" s="1850"/>
      <c r="W3" s="1850"/>
      <c r="X3" s="1850"/>
      <c r="Y3" s="2175" t="s">
        <v>1291</v>
      </c>
      <c r="Z3" s="2175" t="s">
        <v>1292</v>
      </c>
      <c r="AA3" s="2175" t="s">
        <v>1293</v>
      </c>
    </row>
    <row r="4" spans="1:27" s="1851" customFormat="1" ht="23.25" customHeight="1">
      <c r="A4" s="2180"/>
      <c r="B4" s="2181"/>
      <c r="C4" s="2182"/>
      <c r="D4" s="1852" t="s">
        <v>1294</v>
      </c>
      <c r="E4" s="1852" t="s">
        <v>1295</v>
      </c>
      <c r="F4" s="2181"/>
      <c r="G4" s="1852"/>
      <c r="H4" s="1852">
        <v>2012</v>
      </c>
      <c r="I4" s="1852" t="s">
        <v>1296</v>
      </c>
      <c r="J4" s="1852">
        <v>2014</v>
      </c>
      <c r="K4" s="1852">
        <v>2015</v>
      </c>
      <c r="L4" s="1852">
        <v>2016</v>
      </c>
      <c r="M4" s="1852">
        <v>2017</v>
      </c>
      <c r="N4" s="1852">
        <v>2018</v>
      </c>
      <c r="O4" s="1852">
        <v>2019</v>
      </c>
      <c r="P4" s="1852">
        <v>2020</v>
      </c>
      <c r="Q4" s="1852">
        <v>2021</v>
      </c>
      <c r="R4" s="1852">
        <v>2022</v>
      </c>
      <c r="S4" s="1852">
        <v>2023</v>
      </c>
      <c r="T4" s="1852">
        <v>2024</v>
      </c>
      <c r="U4" s="1852">
        <v>2025</v>
      </c>
      <c r="V4" s="1852">
        <v>2026</v>
      </c>
      <c r="W4" s="1852">
        <v>2027</v>
      </c>
      <c r="X4" s="1852">
        <v>2028</v>
      </c>
      <c r="Y4" s="2175"/>
      <c r="Z4" s="2175"/>
      <c r="AA4" s="2175"/>
    </row>
    <row r="5" spans="1:27" s="1851" customFormat="1" ht="12" customHeight="1">
      <c r="A5" s="1853">
        <v>1</v>
      </c>
      <c r="B5" s="1850">
        <v>2</v>
      </c>
      <c r="C5" s="1850">
        <v>3</v>
      </c>
      <c r="D5" s="1852">
        <v>4</v>
      </c>
      <c r="E5" s="1852">
        <v>5</v>
      </c>
      <c r="F5" s="1850">
        <v>6</v>
      </c>
      <c r="G5" s="1852"/>
      <c r="H5" s="1852">
        <v>7</v>
      </c>
      <c r="I5" s="1852">
        <v>7</v>
      </c>
      <c r="J5" s="1852">
        <v>8</v>
      </c>
      <c r="K5" s="1852">
        <v>9</v>
      </c>
      <c r="L5" s="1852">
        <v>10</v>
      </c>
      <c r="M5" s="1852">
        <v>11</v>
      </c>
      <c r="N5" s="1852">
        <v>12</v>
      </c>
      <c r="O5" s="1852">
        <v>13</v>
      </c>
      <c r="P5" s="1852">
        <v>14</v>
      </c>
      <c r="Q5" s="1852"/>
      <c r="R5" s="1852"/>
      <c r="S5" s="1852"/>
      <c r="T5" s="1852"/>
      <c r="U5" s="1852"/>
      <c r="V5" s="1852"/>
      <c r="W5" s="1852"/>
      <c r="X5" s="1852"/>
      <c r="Y5" s="1854">
        <v>15</v>
      </c>
      <c r="Z5" s="1854">
        <v>15</v>
      </c>
      <c r="AA5" s="1854">
        <v>15</v>
      </c>
    </row>
    <row r="6" spans="1:27" s="1858" customFormat="1" ht="23.25" customHeight="1">
      <c r="A6" s="1855" t="s">
        <v>1222</v>
      </c>
      <c r="B6" s="2176" t="s">
        <v>1297</v>
      </c>
      <c r="C6" s="2177"/>
      <c r="D6" s="2177"/>
      <c r="E6" s="2177"/>
      <c r="F6" s="1856">
        <f>SUM(F7:F8)</f>
        <v>282456520</v>
      </c>
      <c r="G6" s="1856"/>
      <c r="H6" s="1856" t="e">
        <f aca="true" t="shared" si="0" ref="H6:X6">SUM(H7:H8)</f>
        <v>#REF!</v>
      </c>
      <c r="I6" s="1856">
        <f t="shared" si="0"/>
        <v>41568174</v>
      </c>
      <c r="J6" s="1856">
        <f t="shared" si="0"/>
        <v>52901770</v>
      </c>
      <c r="K6" s="1856">
        <f t="shared" si="0"/>
        <v>28603364</v>
      </c>
      <c r="L6" s="1856">
        <f t="shared" si="0"/>
        <v>21681113</v>
      </c>
      <c r="M6" s="1856">
        <f t="shared" si="0"/>
        <v>16590787</v>
      </c>
      <c r="N6" s="1856">
        <f t="shared" si="0"/>
        <v>12901240</v>
      </c>
      <c r="O6" s="1856">
        <f t="shared" si="0"/>
        <v>6547694</v>
      </c>
      <c r="P6" s="1856">
        <f t="shared" si="0"/>
        <v>1566215</v>
      </c>
      <c r="Q6" s="1856">
        <f t="shared" si="0"/>
        <v>656588</v>
      </c>
      <c r="R6" s="1856">
        <f t="shared" si="0"/>
        <v>378217</v>
      </c>
      <c r="S6" s="1856">
        <f t="shared" si="0"/>
        <v>238244</v>
      </c>
      <c r="T6" s="1856">
        <f t="shared" si="0"/>
        <v>223862</v>
      </c>
      <c r="U6" s="1856">
        <f t="shared" si="0"/>
        <v>209088</v>
      </c>
      <c r="V6" s="1856">
        <f t="shared" si="0"/>
        <v>194510</v>
      </c>
      <c r="W6" s="1856">
        <f t="shared" si="0"/>
        <v>179932</v>
      </c>
      <c r="X6" s="1856">
        <f t="shared" si="0"/>
        <v>178515</v>
      </c>
      <c r="Y6" s="1856">
        <f>SUM(Y7,Y8)</f>
        <v>183658027</v>
      </c>
      <c r="Z6" s="1857">
        <f>SUM(Z7,Z8)</f>
        <v>33752385.95</v>
      </c>
      <c r="AA6" s="1856">
        <f>SUM(AA7,AA8)</f>
        <v>143051139</v>
      </c>
    </row>
    <row r="7" spans="1:27" s="1858" customFormat="1" ht="12">
      <c r="A7" s="1855" t="s">
        <v>1298</v>
      </c>
      <c r="B7" s="2178" t="s">
        <v>1299</v>
      </c>
      <c r="C7" s="2178"/>
      <c r="D7" s="2178"/>
      <c r="E7" s="2178"/>
      <c r="F7" s="1856">
        <f aca="true" t="shared" si="1" ref="F7:Y7">SUM(F10,F23,F28)</f>
        <v>177707239</v>
      </c>
      <c r="G7" s="1856">
        <f t="shared" si="1"/>
        <v>0</v>
      </c>
      <c r="H7" s="1856" t="e">
        <f t="shared" si="1"/>
        <v>#REF!</v>
      </c>
      <c r="I7" s="1856">
        <f t="shared" si="1"/>
        <v>28730074</v>
      </c>
      <c r="J7" s="1856">
        <f t="shared" si="1"/>
        <v>31882589</v>
      </c>
      <c r="K7" s="1856">
        <f t="shared" si="1"/>
        <v>21483364</v>
      </c>
      <c r="L7" s="1856">
        <f t="shared" si="1"/>
        <v>14416113</v>
      </c>
      <c r="M7" s="1856">
        <f t="shared" si="1"/>
        <v>11790787</v>
      </c>
      <c r="N7" s="1856">
        <f t="shared" si="1"/>
        <v>8101240</v>
      </c>
      <c r="O7" s="1856">
        <f t="shared" si="1"/>
        <v>6547694</v>
      </c>
      <c r="P7" s="1856">
        <f t="shared" si="1"/>
        <v>1566215</v>
      </c>
      <c r="Q7" s="1856">
        <f t="shared" si="1"/>
        <v>656588</v>
      </c>
      <c r="R7" s="1856">
        <f t="shared" si="1"/>
        <v>378217</v>
      </c>
      <c r="S7" s="1856">
        <f t="shared" si="1"/>
        <v>238244</v>
      </c>
      <c r="T7" s="1856">
        <f t="shared" si="1"/>
        <v>223862</v>
      </c>
      <c r="U7" s="1856">
        <f t="shared" si="1"/>
        <v>209088</v>
      </c>
      <c r="V7" s="1856">
        <f t="shared" si="1"/>
        <v>194510</v>
      </c>
      <c r="W7" s="1856">
        <f t="shared" si="1"/>
        <v>179932</v>
      </c>
      <c r="X7" s="1856">
        <f t="shared" si="1"/>
        <v>178515</v>
      </c>
      <c r="Y7" s="1856">
        <f t="shared" si="1"/>
        <v>125815746</v>
      </c>
      <c r="Z7" s="1857">
        <f>SUM(Z10,Z23,Z28)</f>
        <v>23021205.2</v>
      </c>
      <c r="AA7" s="1856">
        <f>SUM(AA10,AA23,AA28)</f>
        <v>98046958</v>
      </c>
    </row>
    <row r="8" spans="1:27" s="1858" customFormat="1" ht="12">
      <c r="A8" s="1855" t="s">
        <v>1300</v>
      </c>
      <c r="B8" s="2178" t="s">
        <v>1301</v>
      </c>
      <c r="C8" s="2178"/>
      <c r="D8" s="2178"/>
      <c r="E8" s="2178"/>
      <c r="F8" s="1856">
        <f aca="true" t="shared" si="2" ref="F8:Y8">SUM(F13,F25,F114)</f>
        <v>104749281</v>
      </c>
      <c r="G8" s="1856">
        <f t="shared" si="2"/>
        <v>0</v>
      </c>
      <c r="H8" s="1856" t="e">
        <f t="shared" si="2"/>
        <v>#REF!</v>
      </c>
      <c r="I8" s="1856">
        <f t="shared" si="2"/>
        <v>12838100</v>
      </c>
      <c r="J8" s="1856">
        <f t="shared" si="2"/>
        <v>21019181</v>
      </c>
      <c r="K8" s="1856">
        <f t="shared" si="2"/>
        <v>7120000</v>
      </c>
      <c r="L8" s="1856">
        <f t="shared" si="2"/>
        <v>7265000</v>
      </c>
      <c r="M8" s="1856">
        <f t="shared" si="2"/>
        <v>4800000</v>
      </c>
      <c r="N8" s="1856">
        <f t="shared" si="2"/>
        <v>4800000</v>
      </c>
      <c r="O8" s="1856">
        <f t="shared" si="2"/>
        <v>0</v>
      </c>
      <c r="P8" s="1856">
        <f t="shared" si="2"/>
        <v>0</v>
      </c>
      <c r="Q8" s="1856">
        <f t="shared" si="2"/>
        <v>0</v>
      </c>
      <c r="R8" s="1856">
        <f t="shared" si="2"/>
        <v>0</v>
      </c>
      <c r="S8" s="1856">
        <f t="shared" si="2"/>
        <v>0</v>
      </c>
      <c r="T8" s="1856">
        <f t="shared" si="2"/>
        <v>0</v>
      </c>
      <c r="U8" s="1856">
        <f t="shared" si="2"/>
        <v>0</v>
      </c>
      <c r="V8" s="1856">
        <f t="shared" si="2"/>
        <v>0</v>
      </c>
      <c r="W8" s="1856">
        <f t="shared" si="2"/>
        <v>0</v>
      </c>
      <c r="X8" s="1856">
        <f t="shared" si="2"/>
        <v>0</v>
      </c>
      <c r="Y8" s="1856">
        <f t="shared" si="2"/>
        <v>57842281</v>
      </c>
      <c r="Z8" s="1857">
        <f>SUM(Z13,Z25,Z114)</f>
        <v>10731180.75</v>
      </c>
      <c r="AA8" s="1856">
        <f>SUM(AA13,AA25,AA114)</f>
        <v>45004181</v>
      </c>
    </row>
    <row r="9" spans="1:27" s="1862" customFormat="1" ht="62.25" customHeight="1">
      <c r="A9" s="1859" t="s">
        <v>1302</v>
      </c>
      <c r="B9" s="2173" t="s">
        <v>1303</v>
      </c>
      <c r="C9" s="2173"/>
      <c r="D9" s="2173"/>
      <c r="E9" s="2173"/>
      <c r="F9" s="1860">
        <f aca="true" t="shared" si="3" ref="F9:Y9">SUM(F10,F13)</f>
        <v>31057293</v>
      </c>
      <c r="G9" s="1860">
        <f t="shared" si="3"/>
        <v>0</v>
      </c>
      <c r="H9" s="1860">
        <f t="shared" si="3"/>
        <v>0</v>
      </c>
      <c r="I9" s="1860">
        <f t="shared" si="3"/>
        <v>3842100</v>
      </c>
      <c r="J9" s="1860">
        <f t="shared" si="3"/>
        <v>14243681</v>
      </c>
      <c r="K9" s="1860">
        <f t="shared" si="3"/>
        <v>2500000</v>
      </c>
      <c r="L9" s="1860">
        <f t="shared" si="3"/>
        <v>2365000</v>
      </c>
      <c r="M9" s="1860">
        <f t="shared" si="3"/>
        <v>0</v>
      </c>
      <c r="N9" s="1860">
        <f t="shared" si="3"/>
        <v>0</v>
      </c>
      <c r="O9" s="1860">
        <f t="shared" si="3"/>
        <v>0</v>
      </c>
      <c r="P9" s="1860">
        <f t="shared" si="3"/>
        <v>0</v>
      </c>
      <c r="Q9" s="1860">
        <f t="shared" si="3"/>
        <v>0</v>
      </c>
      <c r="R9" s="1860">
        <f t="shared" si="3"/>
        <v>0</v>
      </c>
      <c r="S9" s="1860">
        <f t="shared" si="3"/>
        <v>0</v>
      </c>
      <c r="T9" s="1860">
        <f t="shared" si="3"/>
        <v>0</v>
      </c>
      <c r="U9" s="1860">
        <f t="shared" si="3"/>
        <v>0</v>
      </c>
      <c r="V9" s="1860">
        <f t="shared" si="3"/>
        <v>0</v>
      </c>
      <c r="W9" s="1860">
        <f t="shared" si="3"/>
        <v>0</v>
      </c>
      <c r="X9" s="1860">
        <f t="shared" si="3"/>
        <v>0</v>
      </c>
      <c r="Y9" s="1860">
        <f t="shared" si="3"/>
        <v>22950781</v>
      </c>
      <c r="Z9" s="1861">
        <f>SUM(Z10,Z13)</f>
        <v>2606725.5599999996</v>
      </c>
      <c r="AA9" s="1860">
        <f>SUM(AA10,AA13)</f>
        <v>19108681</v>
      </c>
    </row>
    <row r="10" spans="1:27" s="1866" customFormat="1" ht="12">
      <c r="A10" s="1863" t="s">
        <v>1304</v>
      </c>
      <c r="B10" s="2174" t="s">
        <v>1299</v>
      </c>
      <c r="C10" s="2174"/>
      <c r="D10" s="2174"/>
      <c r="E10" s="2174"/>
      <c r="F10" s="1864">
        <f>SUM(F11:F12)</f>
        <v>2017012</v>
      </c>
      <c r="G10" s="1864">
        <f>SUM(G12)</f>
        <v>0</v>
      </c>
      <c r="H10" s="1864">
        <f>SUM(H12)</f>
        <v>0</v>
      </c>
      <c r="I10" s="1864">
        <f aca="true" t="shared" si="4" ref="I10:Y10">SUM(I11:I12)</f>
        <v>398000</v>
      </c>
      <c r="J10" s="1864">
        <f t="shared" si="4"/>
        <v>400500</v>
      </c>
      <c r="K10" s="1864">
        <f t="shared" si="4"/>
        <v>0</v>
      </c>
      <c r="L10" s="1864">
        <f t="shared" si="4"/>
        <v>0</v>
      </c>
      <c r="M10" s="1864">
        <f t="shared" si="4"/>
        <v>0</v>
      </c>
      <c r="N10" s="1864">
        <f t="shared" si="4"/>
        <v>0</v>
      </c>
      <c r="O10" s="1864">
        <f t="shared" si="4"/>
        <v>0</v>
      </c>
      <c r="P10" s="1864">
        <f t="shared" si="4"/>
        <v>0</v>
      </c>
      <c r="Q10" s="1864">
        <f t="shared" si="4"/>
        <v>0</v>
      </c>
      <c r="R10" s="1864">
        <f t="shared" si="4"/>
        <v>0</v>
      </c>
      <c r="S10" s="1864">
        <f t="shared" si="4"/>
        <v>0</v>
      </c>
      <c r="T10" s="1864">
        <f t="shared" si="4"/>
        <v>0</v>
      </c>
      <c r="U10" s="1864">
        <f t="shared" si="4"/>
        <v>0</v>
      </c>
      <c r="V10" s="1864">
        <f t="shared" si="4"/>
        <v>0</v>
      </c>
      <c r="W10" s="1864">
        <f t="shared" si="4"/>
        <v>0</v>
      </c>
      <c r="X10" s="1864">
        <f t="shared" si="4"/>
        <v>0</v>
      </c>
      <c r="Y10" s="1864">
        <f t="shared" si="4"/>
        <v>798500</v>
      </c>
      <c r="Z10" s="1865">
        <f>SUM(Z11:Z12)</f>
        <v>217530.24</v>
      </c>
      <c r="AA10" s="1864">
        <f>SUM(AA11:AA12)</f>
        <v>400500</v>
      </c>
    </row>
    <row r="11" spans="1:27" s="1866" customFormat="1" ht="18.75" customHeight="1">
      <c r="A11" s="1867" t="s">
        <v>1305</v>
      </c>
      <c r="B11" s="1868" t="s">
        <v>1306</v>
      </c>
      <c r="C11" s="1869" t="s">
        <v>1307</v>
      </c>
      <c r="D11" s="1870">
        <v>2008</v>
      </c>
      <c r="E11" s="1870">
        <v>2014</v>
      </c>
      <c r="F11" s="1871">
        <v>1954512</v>
      </c>
      <c r="G11" s="1871"/>
      <c r="H11" s="1871"/>
      <c r="I11" s="1871">
        <v>368000</v>
      </c>
      <c r="J11" s="1871">
        <v>368000</v>
      </c>
      <c r="K11" s="1871">
        <v>0</v>
      </c>
      <c r="L11" s="1871">
        <v>0</v>
      </c>
      <c r="M11" s="1871">
        <v>0</v>
      </c>
      <c r="N11" s="1871">
        <v>0</v>
      </c>
      <c r="O11" s="1871">
        <v>0</v>
      </c>
      <c r="P11" s="1871">
        <v>0</v>
      </c>
      <c r="Q11" s="1871">
        <v>0</v>
      </c>
      <c r="R11" s="1871">
        <v>0</v>
      </c>
      <c r="S11" s="1871">
        <v>0</v>
      </c>
      <c r="T11" s="1871">
        <v>0</v>
      </c>
      <c r="U11" s="1871">
        <v>0</v>
      </c>
      <c r="V11" s="1871">
        <v>0</v>
      </c>
      <c r="W11" s="1871">
        <v>0</v>
      </c>
      <c r="X11" s="1871">
        <v>0</v>
      </c>
      <c r="Y11" s="1872">
        <f>SUM(I11:P11)</f>
        <v>736000</v>
      </c>
      <c r="Z11" s="1873">
        <v>187530.24</v>
      </c>
      <c r="AA11" s="1872">
        <f>SUM(J11:X11)</f>
        <v>368000</v>
      </c>
    </row>
    <row r="12" spans="1:27" s="1874" customFormat="1" ht="17.25" customHeight="1">
      <c r="A12" s="1867" t="s">
        <v>1308</v>
      </c>
      <c r="B12" s="1868" t="s">
        <v>1309</v>
      </c>
      <c r="C12" s="1869" t="s">
        <v>1310</v>
      </c>
      <c r="D12" s="1870">
        <v>2013</v>
      </c>
      <c r="E12" s="1870">
        <v>2014</v>
      </c>
      <c r="F12" s="1871">
        <v>62500</v>
      </c>
      <c r="G12" s="1871"/>
      <c r="H12" s="1871"/>
      <c r="I12" s="1871">
        <v>30000</v>
      </c>
      <c r="J12" s="1871">
        <v>32500</v>
      </c>
      <c r="K12" s="1871">
        <v>0</v>
      </c>
      <c r="L12" s="1871">
        <v>0</v>
      </c>
      <c r="M12" s="1871">
        <v>0</v>
      </c>
      <c r="N12" s="1871">
        <v>0</v>
      </c>
      <c r="O12" s="1871">
        <v>0</v>
      </c>
      <c r="P12" s="1871">
        <v>0</v>
      </c>
      <c r="Q12" s="1871">
        <v>0</v>
      </c>
      <c r="R12" s="1871">
        <v>0</v>
      </c>
      <c r="S12" s="1871">
        <v>0</v>
      </c>
      <c r="T12" s="1871">
        <v>0</v>
      </c>
      <c r="U12" s="1871">
        <v>0</v>
      </c>
      <c r="V12" s="1871">
        <v>0</v>
      </c>
      <c r="W12" s="1871">
        <v>0</v>
      </c>
      <c r="X12" s="1871">
        <v>0</v>
      </c>
      <c r="Y12" s="1872">
        <f>SUM(I12:P12)</f>
        <v>62500</v>
      </c>
      <c r="Z12" s="1873">
        <v>30000</v>
      </c>
      <c r="AA12" s="1872">
        <f>SUM(J12:X12)</f>
        <v>32500</v>
      </c>
    </row>
    <row r="13" spans="1:27" s="1866" customFormat="1" ht="12">
      <c r="A13" s="1863" t="s">
        <v>1311</v>
      </c>
      <c r="B13" s="2174" t="s">
        <v>1301</v>
      </c>
      <c r="C13" s="2174"/>
      <c r="D13" s="2174"/>
      <c r="E13" s="2174"/>
      <c r="F13" s="1864">
        <f>SUM(F14:F21)</f>
        <v>29040281</v>
      </c>
      <c r="G13" s="1864">
        <f>SUM(G14,G15,G16,G17,G21)</f>
        <v>0</v>
      </c>
      <c r="H13" s="1864">
        <f>SUM(H14,H15,H16,H17,H21)</f>
        <v>0</v>
      </c>
      <c r="I13" s="1864">
        <f aca="true" t="shared" si="5" ref="I13:Y13">SUM(I14:I21)</f>
        <v>3444100</v>
      </c>
      <c r="J13" s="1864">
        <f t="shared" si="5"/>
        <v>13843181</v>
      </c>
      <c r="K13" s="1864">
        <f t="shared" si="5"/>
        <v>2500000</v>
      </c>
      <c r="L13" s="1864">
        <f t="shared" si="5"/>
        <v>2365000</v>
      </c>
      <c r="M13" s="1864">
        <f t="shared" si="5"/>
        <v>0</v>
      </c>
      <c r="N13" s="1864">
        <f t="shared" si="5"/>
        <v>0</v>
      </c>
      <c r="O13" s="1864">
        <f t="shared" si="5"/>
        <v>0</v>
      </c>
      <c r="P13" s="1864">
        <f t="shared" si="5"/>
        <v>0</v>
      </c>
      <c r="Q13" s="1864">
        <f t="shared" si="5"/>
        <v>0</v>
      </c>
      <c r="R13" s="1864">
        <f t="shared" si="5"/>
        <v>0</v>
      </c>
      <c r="S13" s="1864">
        <f t="shared" si="5"/>
        <v>0</v>
      </c>
      <c r="T13" s="1864">
        <f t="shared" si="5"/>
        <v>0</v>
      </c>
      <c r="U13" s="1864">
        <f t="shared" si="5"/>
        <v>0</v>
      </c>
      <c r="V13" s="1864">
        <f t="shared" si="5"/>
        <v>0</v>
      </c>
      <c r="W13" s="1864">
        <f t="shared" si="5"/>
        <v>0</v>
      </c>
      <c r="X13" s="1864">
        <f t="shared" si="5"/>
        <v>0</v>
      </c>
      <c r="Y13" s="1864">
        <f t="shared" si="5"/>
        <v>22152281</v>
      </c>
      <c r="Z13" s="1865">
        <f>SUM(Z14:Z21)</f>
        <v>2389195.32</v>
      </c>
      <c r="AA13" s="1864">
        <f>SUM(AA14:AA21)</f>
        <v>18708181</v>
      </c>
    </row>
    <row r="14" spans="1:27" s="1874" customFormat="1" ht="39" customHeight="1">
      <c r="A14" s="1867" t="s">
        <v>1312</v>
      </c>
      <c r="B14" s="1868" t="s">
        <v>1313</v>
      </c>
      <c r="C14" s="1869" t="s">
        <v>1314</v>
      </c>
      <c r="D14" s="1870">
        <v>2010</v>
      </c>
      <c r="E14" s="1870">
        <v>2016</v>
      </c>
      <c r="F14" s="1875">
        <v>5083000</v>
      </c>
      <c r="G14" s="1875"/>
      <c r="H14" s="1875"/>
      <c r="I14" s="1875">
        <v>81000</v>
      </c>
      <c r="J14" s="1875">
        <v>400000</v>
      </c>
      <c r="K14" s="1871">
        <v>2000000</v>
      </c>
      <c r="L14" s="1871">
        <v>2365000</v>
      </c>
      <c r="M14" s="1871">
        <v>0</v>
      </c>
      <c r="N14" s="1871">
        <v>0</v>
      </c>
      <c r="O14" s="1871">
        <v>0</v>
      </c>
      <c r="P14" s="1871">
        <v>0</v>
      </c>
      <c r="Q14" s="1871">
        <v>0</v>
      </c>
      <c r="R14" s="1871">
        <v>0</v>
      </c>
      <c r="S14" s="1871">
        <v>0</v>
      </c>
      <c r="T14" s="1871">
        <v>0</v>
      </c>
      <c r="U14" s="1871">
        <v>0</v>
      </c>
      <c r="V14" s="1871">
        <v>0</v>
      </c>
      <c r="W14" s="1871">
        <v>0</v>
      </c>
      <c r="X14" s="1871">
        <v>0</v>
      </c>
      <c r="Y14" s="1872">
        <f aca="true" t="shared" si="6" ref="Y14:Y21">SUM(I14:P14)</f>
        <v>4846000</v>
      </c>
      <c r="Z14" s="1873">
        <v>67032.74</v>
      </c>
      <c r="AA14" s="1872">
        <f aca="true" t="shared" si="7" ref="AA14:AA21">SUM(J14:X14)</f>
        <v>4765000</v>
      </c>
    </row>
    <row r="15" spans="1:27" s="1874" customFormat="1" ht="38.25" customHeight="1">
      <c r="A15" s="1867" t="s">
        <v>1315</v>
      </c>
      <c r="B15" s="1868" t="s">
        <v>1316</v>
      </c>
      <c r="C15" s="1869" t="s">
        <v>1314</v>
      </c>
      <c r="D15" s="1870">
        <v>2010</v>
      </c>
      <c r="E15" s="1870">
        <v>2014</v>
      </c>
      <c r="F15" s="1875">
        <v>3286000</v>
      </c>
      <c r="G15" s="1875"/>
      <c r="H15" s="1875"/>
      <c r="I15" s="1875">
        <v>325000</v>
      </c>
      <c r="J15" s="1875">
        <v>2456000</v>
      </c>
      <c r="K15" s="1871">
        <v>0</v>
      </c>
      <c r="L15" s="1871">
        <v>0</v>
      </c>
      <c r="M15" s="1871">
        <v>0</v>
      </c>
      <c r="N15" s="1871">
        <v>0</v>
      </c>
      <c r="O15" s="1871">
        <v>0</v>
      </c>
      <c r="P15" s="1871">
        <v>0</v>
      </c>
      <c r="Q15" s="1871">
        <v>0</v>
      </c>
      <c r="R15" s="1871">
        <v>0</v>
      </c>
      <c r="S15" s="1871">
        <v>0</v>
      </c>
      <c r="T15" s="1871">
        <v>0</v>
      </c>
      <c r="U15" s="1871">
        <v>0</v>
      </c>
      <c r="V15" s="1871">
        <v>0</v>
      </c>
      <c r="W15" s="1871">
        <v>0</v>
      </c>
      <c r="X15" s="1871">
        <v>0</v>
      </c>
      <c r="Y15" s="1872">
        <f t="shared" si="6"/>
        <v>2781000</v>
      </c>
      <c r="Z15" s="1873">
        <v>296514.99</v>
      </c>
      <c r="AA15" s="1872">
        <f t="shared" si="7"/>
        <v>2456000</v>
      </c>
    </row>
    <row r="16" spans="1:27" s="1879" customFormat="1" ht="30" customHeight="1" hidden="1">
      <c r="A16" s="1867"/>
      <c r="B16" s="1876" t="s">
        <v>1317</v>
      </c>
      <c r="C16" s="1877" t="s">
        <v>1318</v>
      </c>
      <c r="D16" s="1878">
        <v>2007</v>
      </c>
      <c r="E16" s="1878">
        <v>2013</v>
      </c>
      <c r="F16" s="1872">
        <v>0</v>
      </c>
      <c r="G16" s="1872"/>
      <c r="H16" s="1872"/>
      <c r="I16" s="1872">
        <v>0</v>
      </c>
      <c r="J16" s="1872">
        <v>0</v>
      </c>
      <c r="K16" s="1872">
        <v>0</v>
      </c>
      <c r="L16" s="1872">
        <v>0</v>
      </c>
      <c r="M16" s="1872">
        <v>0</v>
      </c>
      <c r="N16" s="1872">
        <v>0</v>
      </c>
      <c r="O16" s="1872">
        <v>0</v>
      </c>
      <c r="P16" s="1872">
        <v>0</v>
      </c>
      <c r="Q16" s="1872"/>
      <c r="R16" s="1872"/>
      <c r="S16" s="1872"/>
      <c r="T16" s="1872"/>
      <c r="U16" s="1872"/>
      <c r="V16" s="1872"/>
      <c r="W16" s="1872"/>
      <c r="X16" s="1872"/>
      <c r="Y16" s="1872">
        <f t="shared" si="6"/>
        <v>0</v>
      </c>
      <c r="Z16" s="1873">
        <f>SUM(J16:Q16)</f>
        <v>0</v>
      </c>
      <c r="AA16" s="1872">
        <f t="shared" si="7"/>
        <v>0</v>
      </c>
    </row>
    <row r="17" spans="1:27" s="1874" customFormat="1" ht="27" customHeight="1">
      <c r="A17" s="1867" t="s">
        <v>1319</v>
      </c>
      <c r="B17" s="1868" t="s">
        <v>1320</v>
      </c>
      <c r="C17" s="1869" t="s">
        <v>1321</v>
      </c>
      <c r="D17" s="1870">
        <v>2012</v>
      </c>
      <c r="E17" s="1870">
        <v>2015</v>
      </c>
      <c r="F17" s="1871">
        <v>2564000</v>
      </c>
      <c r="G17" s="1871"/>
      <c r="H17" s="1871"/>
      <c r="I17" s="1871">
        <v>32100</v>
      </c>
      <c r="J17" s="1871">
        <v>1946900</v>
      </c>
      <c r="K17" s="1871">
        <v>500000</v>
      </c>
      <c r="L17" s="1871">
        <v>0</v>
      </c>
      <c r="M17" s="1871">
        <v>0</v>
      </c>
      <c r="N17" s="1871">
        <v>0</v>
      </c>
      <c r="O17" s="1871">
        <v>0</v>
      </c>
      <c r="P17" s="1871">
        <v>0</v>
      </c>
      <c r="Q17" s="1871">
        <v>0</v>
      </c>
      <c r="R17" s="1871">
        <v>0</v>
      </c>
      <c r="S17" s="1871">
        <v>0</v>
      </c>
      <c r="T17" s="1871">
        <v>0</v>
      </c>
      <c r="U17" s="1871">
        <v>0</v>
      </c>
      <c r="V17" s="1871">
        <v>0</v>
      </c>
      <c r="W17" s="1871">
        <v>0</v>
      </c>
      <c r="X17" s="1871">
        <v>0</v>
      </c>
      <c r="Y17" s="1872">
        <f t="shared" si="6"/>
        <v>2479000</v>
      </c>
      <c r="Z17" s="1873">
        <v>4035.73</v>
      </c>
      <c r="AA17" s="1872">
        <f t="shared" si="7"/>
        <v>2446900</v>
      </c>
    </row>
    <row r="18" spans="1:27" s="1874" customFormat="1" ht="27" customHeight="1">
      <c r="A18" s="1867" t="s">
        <v>1322</v>
      </c>
      <c r="B18" s="1868" t="s">
        <v>1323</v>
      </c>
      <c r="C18" s="1869" t="s">
        <v>1318</v>
      </c>
      <c r="D18" s="1870">
        <v>2010</v>
      </c>
      <c r="E18" s="1870">
        <v>2014</v>
      </c>
      <c r="F18" s="1871">
        <v>10865000</v>
      </c>
      <c r="G18" s="1871"/>
      <c r="H18" s="1871"/>
      <c r="I18" s="1871">
        <v>2404000</v>
      </c>
      <c r="J18" s="1871">
        <v>2400000</v>
      </c>
      <c r="K18" s="1871">
        <v>0</v>
      </c>
      <c r="L18" s="1871">
        <v>0</v>
      </c>
      <c r="M18" s="1871">
        <v>0</v>
      </c>
      <c r="N18" s="1871">
        <v>0</v>
      </c>
      <c r="O18" s="1871">
        <v>0</v>
      </c>
      <c r="P18" s="1871">
        <v>0</v>
      </c>
      <c r="Q18" s="1871">
        <v>0</v>
      </c>
      <c r="R18" s="1871">
        <v>0</v>
      </c>
      <c r="S18" s="1871">
        <v>0</v>
      </c>
      <c r="T18" s="1871">
        <v>0</v>
      </c>
      <c r="U18" s="1871">
        <v>0</v>
      </c>
      <c r="V18" s="1871">
        <v>0</v>
      </c>
      <c r="W18" s="1871">
        <v>0</v>
      </c>
      <c r="X18" s="1871">
        <v>0</v>
      </c>
      <c r="Y18" s="1872">
        <f t="shared" si="6"/>
        <v>4804000</v>
      </c>
      <c r="Z18" s="1873">
        <v>1932191</v>
      </c>
      <c r="AA18" s="1872">
        <f t="shared" si="7"/>
        <v>2400000</v>
      </c>
    </row>
    <row r="19" spans="1:27" s="1874" customFormat="1" ht="27" customHeight="1" hidden="1">
      <c r="A19" s="1867" t="s">
        <v>1324</v>
      </c>
      <c r="B19" s="1880" t="s">
        <v>1325</v>
      </c>
      <c r="C19" s="1881" t="s">
        <v>1326</v>
      </c>
      <c r="D19" s="1882">
        <v>2013</v>
      </c>
      <c r="E19" s="1882">
        <v>2014</v>
      </c>
      <c r="F19" s="1883">
        <v>0</v>
      </c>
      <c r="G19" s="1883"/>
      <c r="H19" s="1883"/>
      <c r="I19" s="1883">
        <v>0</v>
      </c>
      <c r="J19" s="1883">
        <v>0</v>
      </c>
      <c r="K19" s="1871">
        <v>0</v>
      </c>
      <c r="L19" s="1871">
        <v>0</v>
      </c>
      <c r="M19" s="1871">
        <v>0</v>
      </c>
      <c r="N19" s="1871">
        <v>0</v>
      </c>
      <c r="O19" s="1871">
        <v>0</v>
      </c>
      <c r="P19" s="1871">
        <v>0</v>
      </c>
      <c r="Q19" s="1871"/>
      <c r="R19" s="1871"/>
      <c r="S19" s="1871"/>
      <c r="T19" s="1871"/>
      <c r="U19" s="1871"/>
      <c r="V19" s="1871"/>
      <c r="W19" s="1871"/>
      <c r="X19" s="1871"/>
      <c r="Y19" s="1872">
        <f t="shared" si="6"/>
        <v>0</v>
      </c>
      <c r="Z19" s="1873">
        <f>SUM(J19:Q19)</f>
        <v>0</v>
      </c>
      <c r="AA19" s="1872">
        <f t="shared" si="7"/>
        <v>0</v>
      </c>
    </row>
    <row r="20" spans="1:27" s="1874" customFormat="1" ht="40.5" customHeight="1">
      <c r="A20" s="1867" t="s">
        <v>1324</v>
      </c>
      <c r="B20" s="1868" t="s">
        <v>1327</v>
      </c>
      <c r="C20" s="1869" t="s">
        <v>1314</v>
      </c>
      <c r="D20" s="1870">
        <v>2013</v>
      </c>
      <c r="E20" s="1870">
        <v>2014</v>
      </c>
      <c r="F20" s="1871">
        <v>5540000</v>
      </c>
      <c r="G20" s="1871"/>
      <c r="H20" s="1871"/>
      <c r="I20" s="1871">
        <v>103000</v>
      </c>
      <c r="J20" s="1871">
        <v>5437000</v>
      </c>
      <c r="K20" s="1871">
        <v>0</v>
      </c>
      <c r="L20" s="1871">
        <v>0</v>
      </c>
      <c r="M20" s="1871">
        <v>0</v>
      </c>
      <c r="N20" s="1871">
        <v>0</v>
      </c>
      <c r="O20" s="1871">
        <v>0</v>
      </c>
      <c r="P20" s="1871">
        <v>0</v>
      </c>
      <c r="Q20" s="1871">
        <v>0</v>
      </c>
      <c r="R20" s="1871">
        <v>0</v>
      </c>
      <c r="S20" s="1871">
        <v>0</v>
      </c>
      <c r="T20" s="1871">
        <v>0</v>
      </c>
      <c r="U20" s="1871">
        <v>0</v>
      </c>
      <c r="V20" s="1871">
        <v>0</v>
      </c>
      <c r="W20" s="1871">
        <v>0</v>
      </c>
      <c r="X20" s="1871">
        <v>0</v>
      </c>
      <c r="Y20" s="1872">
        <f t="shared" si="6"/>
        <v>5540000</v>
      </c>
      <c r="Z20" s="1873">
        <v>68003.9</v>
      </c>
      <c r="AA20" s="1872">
        <f t="shared" si="7"/>
        <v>5437000</v>
      </c>
    </row>
    <row r="21" spans="1:27" s="1874" customFormat="1" ht="41.25" customHeight="1">
      <c r="A21" s="1867" t="s">
        <v>1328</v>
      </c>
      <c r="B21" s="1868" t="s">
        <v>1329</v>
      </c>
      <c r="C21" s="1869" t="s">
        <v>1330</v>
      </c>
      <c r="D21" s="1870">
        <v>2013</v>
      </c>
      <c r="E21" s="1870">
        <v>2014</v>
      </c>
      <c r="F21" s="1871">
        <v>1702281</v>
      </c>
      <c r="G21" s="1871"/>
      <c r="H21" s="1871"/>
      <c r="I21" s="1871">
        <v>499000</v>
      </c>
      <c r="J21" s="1871">
        <v>1203281</v>
      </c>
      <c r="K21" s="1871">
        <v>0</v>
      </c>
      <c r="L21" s="1871">
        <v>0</v>
      </c>
      <c r="M21" s="1871">
        <v>0</v>
      </c>
      <c r="N21" s="1871">
        <v>0</v>
      </c>
      <c r="O21" s="1871">
        <v>0</v>
      </c>
      <c r="P21" s="1871">
        <v>0</v>
      </c>
      <c r="Q21" s="1871">
        <v>0</v>
      </c>
      <c r="R21" s="1871">
        <v>0</v>
      </c>
      <c r="S21" s="1871">
        <v>0</v>
      </c>
      <c r="T21" s="1871">
        <v>0</v>
      </c>
      <c r="U21" s="1871">
        <v>0</v>
      </c>
      <c r="V21" s="1871">
        <v>0</v>
      </c>
      <c r="W21" s="1871">
        <v>0</v>
      </c>
      <c r="X21" s="1871">
        <v>0</v>
      </c>
      <c r="Y21" s="1872">
        <f t="shared" si="6"/>
        <v>1702281</v>
      </c>
      <c r="Z21" s="1873">
        <v>21416.96</v>
      </c>
      <c r="AA21" s="1872">
        <f t="shared" si="7"/>
        <v>1203281</v>
      </c>
    </row>
    <row r="22" spans="1:27" s="1862" customFormat="1" ht="36" customHeight="1">
      <c r="A22" s="1859" t="s">
        <v>1331</v>
      </c>
      <c r="B22" s="2173" t="s">
        <v>1332</v>
      </c>
      <c r="C22" s="2173"/>
      <c r="D22" s="2173"/>
      <c r="E22" s="2173"/>
      <c r="F22" s="1860">
        <f>SUM(F23:F25)</f>
        <v>0</v>
      </c>
      <c r="G22" s="1860"/>
      <c r="H22" s="1860" t="e">
        <f aca="true" t="shared" si="8" ref="H22:X22">SUM(H23:H25)</f>
        <v>#REF!</v>
      </c>
      <c r="I22" s="1860">
        <f t="shared" si="8"/>
        <v>0</v>
      </c>
      <c r="J22" s="1860">
        <f t="shared" si="8"/>
        <v>0</v>
      </c>
      <c r="K22" s="1860">
        <f t="shared" si="8"/>
        <v>0</v>
      </c>
      <c r="L22" s="1860">
        <f t="shared" si="8"/>
        <v>0</v>
      </c>
      <c r="M22" s="1860">
        <f t="shared" si="8"/>
        <v>0</v>
      </c>
      <c r="N22" s="1860">
        <f t="shared" si="8"/>
        <v>0</v>
      </c>
      <c r="O22" s="1860">
        <f t="shared" si="8"/>
        <v>0</v>
      </c>
      <c r="P22" s="1860">
        <f t="shared" si="8"/>
        <v>0</v>
      </c>
      <c r="Q22" s="1860">
        <f t="shared" si="8"/>
        <v>0</v>
      </c>
      <c r="R22" s="1860">
        <f t="shared" si="8"/>
        <v>0</v>
      </c>
      <c r="S22" s="1860">
        <f t="shared" si="8"/>
        <v>0</v>
      </c>
      <c r="T22" s="1860">
        <f t="shared" si="8"/>
        <v>0</v>
      </c>
      <c r="U22" s="1860">
        <f t="shared" si="8"/>
        <v>0</v>
      </c>
      <c r="V22" s="1860">
        <f t="shared" si="8"/>
        <v>0</v>
      </c>
      <c r="W22" s="1860">
        <f t="shared" si="8"/>
        <v>0</v>
      </c>
      <c r="X22" s="1860">
        <f t="shared" si="8"/>
        <v>0</v>
      </c>
      <c r="Y22" s="1860">
        <f>SUM(Y23:Y25)</f>
        <v>0</v>
      </c>
      <c r="Z22" s="1861">
        <f>SUM(Z23:Z25)</f>
        <v>0</v>
      </c>
      <c r="AA22" s="1860">
        <f>SUM(AA23:AA25)</f>
        <v>0</v>
      </c>
    </row>
    <row r="23" spans="1:27" s="1866" customFormat="1" ht="12">
      <c r="A23" s="1863" t="s">
        <v>1333</v>
      </c>
      <c r="B23" s="2174" t="s">
        <v>1299</v>
      </c>
      <c r="C23" s="2174"/>
      <c r="D23" s="2174"/>
      <c r="E23" s="2174"/>
      <c r="F23" s="1884">
        <v>0</v>
      </c>
      <c r="G23" s="1884"/>
      <c r="H23" s="1884" t="e">
        <f>SUM(#REF!)</f>
        <v>#REF!</v>
      </c>
      <c r="I23" s="1884">
        <v>0</v>
      </c>
      <c r="J23" s="1884">
        <v>0</v>
      </c>
      <c r="K23" s="1884">
        <v>0</v>
      </c>
      <c r="L23" s="1884">
        <v>0</v>
      </c>
      <c r="M23" s="1884">
        <v>0</v>
      </c>
      <c r="N23" s="1884">
        <v>0</v>
      </c>
      <c r="O23" s="1884">
        <v>0</v>
      </c>
      <c r="P23" s="1884">
        <v>0</v>
      </c>
      <c r="Q23" s="1884">
        <v>0</v>
      </c>
      <c r="R23" s="1884">
        <v>0</v>
      </c>
      <c r="S23" s="1884">
        <v>0</v>
      </c>
      <c r="T23" s="1884">
        <v>0</v>
      </c>
      <c r="U23" s="1884">
        <v>0</v>
      </c>
      <c r="V23" s="1884">
        <v>0</v>
      </c>
      <c r="W23" s="1884">
        <v>0</v>
      </c>
      <c r="X23" s="1884">
        <v>0</v>
      </c>
      <c r="Y23" s="1884">
        <v>0</v>
      </c>
      <c r="Z23" s="1885">
        <v>0</v>
      </c>
      <c r="AA23" s="1884">
        <v>0</v>
      </c>
    </row>
    <row r="24" spans="1:27" s="1890" customFormat="1" ht="12">
      <c r="A24" s="1886" t="s">
        <v>1334</v>
      </c>
      <c r="B24" s="1887" t="s">
        <v>1195</v>
      </c>
      <c r="C24" s="1887" t="s">
        <v>1195</v>
      </c>
      <c r="D24" s="1887" t="s">
        <v>1195</v>
      </c>
      <c r="E24" s="1887" t="s">
        <v>1195</v>
      </c>
      <c r="F24" s="1888">
        <v>0</v>
      </c>
      <c r="G24" s="1888"/>
      <c r="H24" s="1888"/>
      <c r="I24" s="1888">
        <v>0</v>
      </c>
      <c r="J24" s="1888">
        <v>0</v>
      </c>
      <c r="K24" s="1888">
        <v>0</v>
      </c>
      <c r="L24" s="1888">
        <v>0</v>
      </c>
      <c r="M24" s="1888">
        <v>0</v>
      </c>
      <c r="N24" s="1888">
        <v>0</v>
      </c>
      <c r="O24" s="1888">
        <v>0</v>
      </c>
      <c r="P24" s="1888">
        <v>0</v>
      </c>
      <c r="Q24" s="1888">
        <v>0</v>
      </c>
      <c r="R24" s="1888">
        <v>0</v>
      </c>
      <c r="S24" s="1888">
        <v>0</v>
      </c>
      <c r="T24" s="1888">
        <v>0</v>
      </c>
      <c r="U24" s="1888">
        <v>0</v>
      </c>
      <c r="V24" s="1888">
        <v>0</v>
      </c>
      <c r="W24" s="1888">
        <v>0</v>
      </c>
      <c r="X24" s="1888">
        <v>0</v>
      </c>
      <c r="Y24" s="1888">
        <v>0</v>
      </c>
      <c r="Z24" s="1889">
        <v>0</v>
      </c>
      <c r="AA24" s="1888">
        <v>0</v>
      </c>
    </row>
    <row r="25" spans="1:27" s="1866" customFormat="1" ht="12">
      <c r="A25" s="1863" t="s">
        <v>1335</v>
      </c>
      <c r="B25" s="2174" t="s">
        <v>1301</v>
      </c>
      <c r="C25" s="2174"/>
      <c r="D25" s="2174"/>
      <c r="E25" s="2174"/>
      <c r="F25" s="1884">
        <v>0</v>
      </c>
      <c r="G25" s="1884"/>
      <c r="H25" s="1884" t="e">
        <f>SUM(#REF!)</f>
        <v>#REF!</v>
      </c>
      <c r="I25" s="1884">
        <v>0</v>
      </c>
      <c r="J25" s="1884">
        <v>0</v>
      </c>
      <c r="K25" s="1884">
        <v>0</v>
      </c>
      <c r="L25" s="1884">
        <v>0</v>
      </c>
      <c r="M25" s="1884">
        <v>0</v>
      </c>
      <c r="N25" s="1884">
        <v>0</v>
      </c>
      <c r="O25" s="1884">
        <v>0</v>
      </c>
      <c r="P25" s="1884">
        <v>0</v>
      </c>
      <c r="Q25" s="1884">
        <v>0</v>
      </c>
      <c r="R25" s="1884">
        <v>0</v>
      </c>
      <c r="S25" s="1884">
        <v>0</v>
      </c>
      <c r="T25" s="1884">
        <v>0</v>
      </c>
      <c r="U25" s="1884">
        <v>0</v>
      </c>
      <c r="V25" s="1884">
        <v>0</v>
      </c>
      <c r="W25" s="1884">
        <v>0</v>
      </c>
      <c r="X25" s="1884">
        <v>0</v>
      </c>
      <c r="Y25" s="1884">
        <v>0</v>
      </c>
      <c r="Z25" s="1885">
        <v>0</v>
      </c>
      <c r="AA25" s="1884">
        <v>0</v>
      </c>
    </row>
    <row r="26" spans="1:27" s="1890" customFormat="1" ht="12">
      <c r="A26" s="1886" t="s">
        <v>1336</v>
      </c>
      <c r="B26" s="1877" t="s">
        <v>1195</v>
      </c>
      <c r="C26" s="1878" t="s">
        <v>1195</v>
      </c>
      <c r="D26" s="1878" t="s">
        <v>1195</v>
      </c>
      <c r="E26" s="1878" t="s">
        <v>1195</v>
      </c>
      <c r="F26" s="1888">
        <v>0</v>
      </c>
      <c r="G26" s="1888" t="s">
        <v>1195</v>
      </c>
      <c r="H26" s="1888" t="s">
        <v>1195</v>
      </c>
      <c r="I26" s="1888">
        <v>0</v>
      </c>
      <c r="J26" s="1888">
        <v>0</v>
      </c>
      <c r="K26" s="1888">
        <v>0</v>
      </c>
      <c r="L26" s="1888">
        <v>0</v>
      </c>
      <c r="M26" s="1888">
        <v>0</v>
      </c>
      <c r="N26" s="1888">
        <v>0</v>
      </c>
      <c r="O26" s="1888">
        <v>0</v>
      </c>
      <c r="P26" s="1888">
        <v>0</v>
      </c>
      <c r="Q26" s="1888">
        <v>0</v>
      </c>
      <c r="R26" s="1888">
        <v>0</v>
      </c>
      <c r="S26" s="1888">
        <v>0</v>
      </c>
      <c r="T26" s="1888">
        <v>0</v>
      </c>
      <c r="U26" s="1888">
        <v>0</v>
      </c>
      <c r="V26" s="1888">
        <v>0</v>
      </c>
      <c r="W26" s="1888">
        <v>0</v>
      </c>
      <c r="X26" s="1888">
        <v>0</v>
      </c>
      <c r="Y26" s="1888">
        <v>0</v>
      </c>
      <c r="Z26" s="1889">
        <v>0</v>
      </c>
      <c r="AA26" s="1888">
        <v>0</v>
      </c>
    </row>
    <row r="27" spans="1:27" s="1862" customFormat="1" ht="36.75" customHeight="1">
      <c r="A27" s="1859" t="s">
        <v>1337</v>
      </c>
      <c r="B27" s="2173" t="s">
        <v>1338</v>
      </c>
      <c r="C27" s="2173"/>
      <c r="D27" s="2173"/>
      <c r="E27" s="2173"/>
      <c r="F27" s="1860">
        <f>SUM(F28+F114)</f>
        <v>251399227</v>
      </c>
      <c r="G27" s="1860"/>
      <c r="H27" s="1860">
        <f>SUM(H28:H28)</f>
        <v>13850108</v>
      </c>
      <c r="I27" s="1860">
        <f aca="true" t="shared" si="9" ref="I27:Y27">SUM(I28+I114)</f>
        <v>37726074</v>
      </c>
      <c r="J27" s="1860">
        <f t="shared" si="9"/>
        <v>38658089</v>
      </c>
      <c r="K27" s="1860">
        <f t="shared" si="9"/>
        <v>26103364</v>
      </c>
      <c r="L27" s="1860">
        <f t="shared" si="9"/>
        <v>19316113</v>
      </c>
      <c r="M27" s="1860">
        <f t="shared" si="9"/>
        <v>16590787</v>
      </c>
      <c r="N27" s="1860">
        <f t="shared" si="9"/>
        <v>12901240</v>
      </c>
      <c r="O27" s="1860">
        <f t="shared" si="9"/>
        <v>6547694</v>
      </c>
      <c r="P27" s="1860">
        <f t="shared" si="9"/>
        <v>1566215</v>
      </c>
      <c r="Q27" s="1860">
        <f t="shared" si="9"/>
        <v>656588</v>
      </c>
      <c r="R27" s="1860">
        <f t="shared" si="9"/>
        <v>378217</v>
      </c>
      <c r="S27" s="1860">
        <f t="shared" si="9"/>
        <v>238244</v>
      </c>
      <c r="T27" s="1860">
        <f t="shared" si="9"/>
        <v>223862</v>
      </c>
      <c r="U27" s="1860">
        <f t="shared" si="9"/>
        <v>209088</v>
      </c>
      <c r="V27" s="1860">
        <f t="shared" si="9"/>
        <v>194510</v>
      </c>
      <c r="W27" s="1860">
        <f t="shared" si="9"/>
        <v>179932</v>
      </c>
      <c r="X27" s="1860">
        <f t="shared" si="9"/>
        <v>178515</v>
      </c>
      <c r="Y27" s="1860">
        <f t="shared" si="9"/>
        <v>160707246</v>
      </c>
      <c r="Z27" s="1861">
        <f>SUM(Z28+Z114)</f>
        <v>31145660.39</v>
      </c>
      <c r="AA27" s="1860">
        <f>SUM(AA28+AA114)</f>
        <v>123942458</v>
      </c>
    </row>
    <row r="28" spans="1:27" s="1866" customFormat="1" ht="12">
      <c r="A28" s="1863" t="s">
        <v>1339</v>
      </c>
      <c r="B28" s="2174" t="s">
        <v>1299</v>
      </c>
      <c r="C28" s="2174"/>
      <c r="D28" s="2174"/>
      <c r="E28" s="2174"/>
      <c r="F28" s="1864">
        <f>SUM(F29:F113)</f>
        <v>175690227</v>
      </c>
      <c r="G28" s="1864">
        <f>SUM(G29,G30,G31,G32,G33,G34,G35,G36,G37,G38,G40,G41,G42,G43,G44,G45,G46,G47,G48,G49,G50,G51,G52)+G53+G54+G55+G56+G57+G58+G59+G60+G61+G62+G63+G64+G65+G66+G67+G68+G69+G70+G71+G72+G73+G74+G75+G76+G77+G78+G79+G80+G81+G82+G83+G89+G90+G91+G92+G93+G94+G96+G97+G98+G99+G100+G101+G102+G103+G104+G105+G106+G107+G108+G109+G110+G111+G113</f>
        <v>0</v>
      </c>
      <c r="H28" s="1864">
        <f>SUM(H29,H30,H31,H32,H33,H34,H35,H36,H37,H38,H40,H41,H42,H43,H44,H45,H46,H47,H48,H49,H50,H51,H52)+H53+H54+H55+H56+H57+H58+H59+H60+H61+H62+H63+H64+H65+H66+H67+H68+H69+H70+H71+H72+H73+H74+H75+H76+H77+H78+H79+H80+H81+H82+H83+H89+H90+H91+H92+H93+H94+H96+H97+H98+H99+H100+H101+H102+H103+H104+H105+H106+H107+H108+H109+H110+H111+H113</f>
        <v>13850108</v>
      </c>
      <c r="I28" s="1864">
        <f aca="true" t="shared" si="10" ref="I28:Y28">SUM(I29:I113)</f>
        <v>28332074</v>
      </c>
      <c r="J28" s="1864">
        <f t="shared" si="10"/>
        <v>31482089</v>
      </c>
      <c r="K28" s="1864">
        <f t="shared" si="10"/>
        <v>21483364</v>
      </c>
      <c r="L28" s="1864">
        <f t="shared" si="10"/>
        <v>14416113</v>
      </c>
      <c r="M28" s="1864">
        <f t="shared" si="10"/>
        <v>11790787</v>
      </c>
      <c r="N28" s="1864">
        <f t="shared" si="10"/>
        <v>8101240</v>
      </c>
      <c r="O28" s="1864">
        <f t="shared" si="10"/>
        <v>6547694</v>
      </c>
      <c r="P28" s="1864">
        <f t="shared" si="10"/>
        <v>1566215</v>
      </c>
      <c r="Q28" s="1864">
        <f t="shared" si="10"/>
        <v>656588</v>
      </c>
      <c r="R28" s="1864">
        <f t="shared" si="10"/>
        <v>378217</v>
      </c>
      <c r="S28" s="1864">
        <f t="shared" si="10"/>
        <v>238244</v>
      </c>
      <c r="T28" s="1864">
        <f t="shared" si="10"/>
        <v>223862</v>
      </c>
      <c r="U28" s="1864">
        <f t="shared" si="10"/>
        <v>209088</v>
      </c>
      <c r="V28" s="1864">
        <f t="shared" si="10"/>
        <v>194510</v>
      </c>
      <c r="W28" s="1864">
        <f t="shared" si="10"/>
        <v>179932</v>
      </c>
      <c r="X28" s="1864">
        <f t="shared" si="10"/>
        <v>178515</v>
      </c>
      <c r="Y28" s="1864">
        <f t="shared" si="10"/>
        <v>125017246</v>
      </c>
      <c r="Z28" s="1865">
        <f>SUM(Z29:Z113)</f>
        <v>22803674.96</v>
      </c>
      <c r="AA28" s="1864">
        <f>SUM(AA29:AA113)</f>
        <v>97646458</v>
      </c>
    </row>
    <row r="29" spans="1:27" s="1879" customFormat="1" ht="49.5" customHeight="1">
      <c r="A29" s="1886" t="s">
        <v>1340</v>
      </c>
      <c r="B29" s="1891" t="s">
        <v>1341</v>
      </c>
      <c r="C29" s="1877" t="s">
        <v>1342</v>
      </c>
      <c r="D29" s="1878">
        <v>2012</v>
      </c>
      <c r="E29" s="1878">
        <v>2015</v>
      </c>
      <c r="F29" s="1872">
        <v>140737</v>
      </c>
      <c r="G29" s="1872"/>
      <c r="H29" s="1872">
        <v>173000</v>
      </c>
      <c r="I29" s="1872">
        <v>46912</v>
      </c>
      <c r="J29" s="1872">
        <v>46912</v>
      </c>
      <c r="K29" s="1872">
        <v>23457</v>
      </c>
      <c r="L29" s="1872">
        <v>0</v>
      </c>
      <c r="M29" s="1872">
        <v>0</v>
      </c>
      <c r="N29" s="1872">
        <v>0</v>
      </c>
      <c r="O29" s="1872">
        <v>0</v>
      </c>
      <c r="P29" s="1872">
        <v>0</v>
      </c>
      <c r="Q29" s="1872">
        <v>0</v>
      </c>
      <c r="R29" s="1872">
        <v>0</v>
      </c>
      <c r="S29" s="1872">
        <v>0</v>
      </c>
      <c r="T29" s="1872">
        <v>0</v>
      </c>
      <c r="U29" s="1872">
        <v>0</v>
      </c>
      <c r="V29" s="1872">
        <v>0</v>
      </c>
      <c r="W29" s="1872">
        <v>0</v>
      </c>
      <c r="X29" s="1872">
        <v>0</v>
      </c>
      <c r="Y29" s="1872">
        <f aca="true" t="shared" si="11" ref="Y29:Y84">SUM(I29:P29)</f>
        <v>117281</v>
      </c>
      <c r="Z29" s="1873">
        <v>46912</v>
      </c>
      <c r="AA29" s="1872">
        <f aca="true" t="shared" si="12" ref="AA29:AA92">SUM(J29:X29)</f>
        <v>70369</v>
      </c>
    </row>
    <row r="30" spans="1:27" s="1879" customFormat="1" ht="33.75" customHeight="1">
      <c r="A30" s="1886" t="s">
        <v>1343</v>
      </c>
      <c r="B30" s="1891" t="s">
        <v>1344</v>
      </c>
      <c r="C30" s="1877" t="s">
        <v>1342</v>
      </c>
      <c r="D30" s="1878">
        <v>2013</v>
      </c>
      <c r="E30" s="1878">
        <v>2014</v>
      </c>
      <c r="F30" s="1872">
        <v>90000</v>
      </c>
      <c r="G30" s="1872"/>
      <c r="H30" s="1872">
        <v>173000</v>
      </c>
      <c r="I30" s="1872">
        <v>60000</v>
      </c>
      <c r="J30" s="1872">
        <v>30000</v>
      </c>
      <c r="K30" s="1872">
        <v>0</v>
      </c>
      <c r="L30" s="1872">
        <v>0</v>
      </c>
      <c r="M30" s="1872">
        <v>0</v>
      </c>
      <c r="N30" s="1872">
        <v>0</v>
      </c>
      <c r="O30" s="1872">
        <v>0</v>
      </c>
      <c r="P30" s="1872">
        <v>0</v>
      </c>
      <c r="Q30" s="1872">
        <v>0</v>
      </c>
      <c r="R30" s="1872">
        <v>0</v>
      </c>
      <c r="S30" s="1872">
        <v>0</v>
      </c>
      <c r="T30" s="1872">
        <v>0</v>
      </c>
      <c r="U30" s="1872">
        <v>0</v>
      </c>
      <c r="V30" s="1872">
        <v>0</v>
      </c>
      <c r="W30" s="1872">
        <v>0</v>
      </c>
      <c r="X30" s="1872">
        <v>0</v>
      </c>
      <c r="Y30" s="1872">
        <f t="shared" si="11"/>
        <v>90000</v>
      </c>
      <c r="Z30" s="1873">
        <v>0</v>
      </c>
      <c r="AA30" s="1872">
        <f t="shared" si="12"/>
        <v>30000</v>
      </c>
    </row>
    <row r="31" spans="1:27" s="1879" customFormat="1" ht="29.25" customHeight="1">
      <c r="A31" s="1886" t="s">
        <v>1345</v>
      </c>
      <c r="B31" s="1891" t="s">
        <v>1346</v>
      </c>
      <c r="C31" s="1877" t="s">
        <v>1342</v>
      </c>
      <c r="D31" s="1878">
        <v>2013</v>
      </c>
      <c r="E31" s="1878">
        <v>2014</v>
      </c>
      <c r="F31" s="1872">
        <v>160000</v>
      </c>
      <c r="G31" s="1872"/>
      <c r="H31" s="1872">
        <v>75000</v>
      </c>
      <c r="I31" s="1872">
        <v>80000</v>
      </c>
      <c r="J31" s="1872">
        <v>80000</v>
      </c>
      <c r="K31" s="1872">
        <v>0</v>
      </c>
      <c r="L31" s="1872">
        <v>0</v>
      </c>
      <c r="M31" s="1872">
        <v>0</v>
      </c>
      <c r="N31" s="1872">
        <v>0</v>
      </c>
      <c r="O31" s="1872">
        <v>0</v>
      </c>
      <c r="P31" s="1872">
        <v>0</v>
      </c>
      <c r="Q31" s="1872">
        <v>0</v>
      </c>
      <c r="R31" s="1872">
        <v>0</v>
      </c>
      <c r="S31" s="1872">
        <v>0</v>
      </c>
      <c r="T31" s="1872">
        <v>0</v>
      </c>
      <c r="U31" s="1872">
        <v>0</v>
      </c>
      <c r="V31" s="1872">
        <v>0</v>
      </c>
      <c r="W31" s="1872">
        <v>0</v>
      </c>
      <c r="X31" s="1872">
        <v>0</v>
      </c>
      <c r="Y31" s="1872">
        <f t="shared" si="11"/>
        <v>160000</v>
      </c>
      <c r="Z31" s="1873">
        <v>67429.91</v>
      </c>
      <c r="AA31" s="1872">
        <f t="shared" si="12"/>
        <v>80000</v>
      </c>
    </row>
    <row r="32" spans="1:27" s="1879" customFormat="1" ht="38.25" customHeight="1">
      <c r="A32" s="1886" t="s">
        <v>1347</v>
      </c>
      <c r="B32" s="1876" t="s">
        <v>1348</v>
      </c>
      <c r="C32" s="1877" t="s">
        <v>1318</v>
      </c>
      <c r="D32" s="1878">
        <v>2010</v>
      </c>
      <c r="E32" s="1878">
        <v>2019</v>
      </c>
      <c r="F32" s="1872">
        <v>34700000</v>
      </c>
      <c r="G32" s="1872"/>
      <c r="H32" s="1872"/>
      <c r="I32" s="1872">
        <v>3300000</v>
      </c>
      <c r="J32" s="1872">
        <v>3400000</v>
      </c>
      <c r="K32" s="1872">
        <v>3500000</v>
      </c>
      <c r="L32" s="1872">
        <v>3600000</v>
      </c>
      <c r="M32" s="1872">
        <v>3700000</v>
      </c>
      <c r="N32" s="1872">
        <v>3800000</v>
      </c>
      <c r="O32" s="1872">
        <v>4000000</v>
      </c>
      <c r="P32" s="1872">
        <v>0</v>
      </c>
      <c r="Q32" s="1872">
        <v>0</v>
      </c>
      <c r="R32" s="1872">
        <v>0</v>
      </c>
      <c r="S32" s="1872">
        <v>0</v>
      </c>
      <c r="T32" s="1872">
        <v>0</v>
      </c>
      <c r="U32" s="1872">
        <v>0</v>
      </c>
      <c r="V32" s="1872">
        <v>0</v>
      </c>
      <c r="W32" s="1872">
        <v>0</v>
      </c>
      <c r="X32" s="1872">
        <v>0</v>
      </c>
      <c r="Y32" s="1872">
        <f t="shared" si="11"/>
        <v>25300000</v>
      </c>
      <c r="Z32" s="1873">
        <v>3300000</v>
      </c>
      <c r="AA32" s="1872">
        <f t="shared" si="12"/>
        <v>22000000</v>
      </c>
    </row>
    <row r="33" spans="1:27" s="1879" customFormat="1" ht="24" customHeight="1">
      <c r="A33" s="1886" t="s">
        <v>1349</v>
      </c>
      <c r="B33" s="1891" t="s">
        <v>1350</v>
      </c>
      <c r="C33" s="1877" t="s">
        <v>1351</v>
      </c>
      <c r="D33" s="1878">
        <v>2012</v>
      </c>
      <c r="E33" s="1878">
        <v>2014</v>
      </c>
      <c r="F33" s="1872">
        <v>818350</v>
      </c>
      <c r="G33" s="1872"/>
      <c r="H33" s="1872">
        <v>136224</v>
      </c>
      <c r="I33" s="1872">
        <v>338900</v>
      </c>
      <c r="J33" s="1872">
        <v>169450</v>
      </c>
      <c r="K33" s="1872">
        <v>0</v>
      </c>
      <c r="L33" s="1872">
        <v>0</v>
      </c>
      <c r="M33" s="1872">
        <v>0</v>
      </c>
      <c r="N33" s="1872">
        <v>0</v>
      </c>
      <c r="O33" s="1872">
        <v>0</v>
      </c>
      <c r="P33" s="1872">
        <v>0</v>
      </c>
      <c r="Q33" s="1872">
        <v>0</v>
      </c>
      <c r="R33" s="1872">
        <v>0</v>
      </c>
      <c r="S33" s="1872">
        <v>0</v>
      </c>
      <c r="T33" s="1872">
        <v>0</v>
      </c>
      <c r="U33" s="1872">
        <v>0</v>
      </c>
      <c r="V33" s="1872">
        <v>0</v>
      </c>
      <c r="W33" s="1872">
        <v>0</v>
      </c>
      <c r="X33" s="1872">
        <v>0</v>
      </c>
      <c r="Y33" s="1872">
        <f t="shared" si="11"/>
        <v>508350</v>
      </c>
      <c r="Z33" s="1873">
        <v>316961.5</v>
      </c>
      <c r="AA33" s="1872">
        <f t="shared" si="12"/>
        <v>169450</v>
      </c>
    </row>
    <row r="34" spans="1:27" s="1879" customFormat="1" ht="24" customHeight="1">
      <c r="A34" s="1886" t="s">
        <v>1352</v>
      </c>
      <c r="B34" s="1891" t="s">
        <v>1353</v>
      </c>
      <c r="C34" s="1877" t="s">
        <v>1351</v>
      </c>
      <c r="D34" s="1878">
        <v>2012</v>
      </c>
      <c r="E34" s="1878">
        <v>2014</v>
      </c>
      <c r="F34" s="1872">
        <v>96000</v>
      </c>
      <c r="G34" s="1872"/>
      <c r="H34" s="1872">
        <v>136224</v>
      </c>
      <c r="I34" s="1872">
        <v>36000</v>
      </c>
      <c r="J34" s="1872">
        <v>24000</v>
      </c>
      <c r="K34" s="1872">
        <v>0</v>
      </c>
      <c r="L34" s="1872">
        <v>0</v>
      </c>
      <c r="M34" s="1872">
        <v>0</v>
      </c>
      <c r="N34" s="1872">
        <v>0</v>
      </c>
      <c r="O34" s="1872">
        <v>0</v>
      </c>
      <c r="P34" s="1872">
        <v>0</v>
      </c>
      <c r="Q34" s="1872">
        <v>0</v>
      </c>
      <c r="R34" s="1872">
        <v>0</v>
      </c>
      <c r="S34" s="1872">
        <v>0</v>
      </c>
      <c r="T34" s="1872">
        <v>0</v>
      </c>
      <c r="U34" s="1872">
        <v>0</v>
      </c>
      <c r="V34" s="1872">
        <v>0</v>
      </c>
      <c r="W34" s="1872">
        <v>0</v>
      </c>
      <c r="X34" s="1872">
        <v>0</v>
      </c>
      <c r="Y34" s="1872">
        <f t="shared" si="11"/>
        <v>60000</v>
      </c>
      <c r="Z34" s="1873">
        <v>36000</v>
      </c>
      <c r="AA34" s="1872">
        <f t="shared" si="12"/>
        <v>24000</v>
      </c>
    </row>
    <row r="35" spans="1:27" s="1879" customFormat="1" ht="24" customHeight="1">
      <c r="A35" s="1886" t="s">
        <v>1354</v>
      </c>
      <c r="B35" s="1891" t="s">
        <v>1355</v>
      </c>
      <c r="C35" s="1877" t="s">
        <v>1351</v>
      </c>
      <c r="D35" s="1878">
        <v>2012</v>
      </c>
      <c r="E35" s="1878">
        <v>2014</v>
      </c>
      <c r="F35" s="1872">
        <v>35000</v>
      </c>
      <c r="G35" s="1872"/>
      <c r="H35" s="1872">
        <v>119100</v>
      </c>
      <c r="I35" s="1872">
        <v>16500</v>
      </c>
      <c r="J35" s="1872">
        <v>2000</v>
      </c>
      <c r="K35" s="1872">
        <v>0</v>
      </c>
      <c r="L35" s="1872">
        <v>0</v>
      </c>
      <c r="M35" s="1872">
        <v>0</v>
      </c>
      <c r="N35" s="1872">
        <v>0</v>
      </c>
      <c r="O35" s="1872">
        <v>0</v>
      </c>
      <c r="P35" s="1872">
        <v>0</v>
      </c>
      <c r="Q35" s="1872"/>
      <c r="R35" s="1872"/>
      <c r="S35" s="1872"/>
      <c r="T35" s="1872"/>
      <c r="U35" s="1872"/>
      <c r="V35" s="1872"/>
      <c r="W35" s="1872"/>
      <c r="X35" s="1872"/>
      <c r="Y35" s="1872">
        <f t="shared" si="11"/>
        <v>18500</v>
      </c>
      <c r="Z35" s="1873">
        <v>3913.77</v>
      </c>
      <c r="AA35" s="1872">
        <f t="shared" si="12"/>
        <v>2000</v>
      </c>
    </row>
    <row r="36" spans="1:27" s="1879" customFormat="1" ht="24" customHeight="1">
      <c r="A36" s="1886" t="s">
        <v>1356</v>
      </c>
      <c r="B36" s="1891" t="s">
        <v>606</v>
      </c>
      <c r="C36" s="1877" t="s">
        <v>1351</v>
      </c>
      <c r="D36" s="1878">
        <v>2012</v>
      </c>
      <c r="E36" s="1878">
        <v>2014</v>
      </c>
      <c r="F36" s="1872">
        <v>7100</v>
      </c>
      <c r="G36" s="1872"/>
      <c r="H36" s="1872">
        <v>119100</v>
      </c>
      <c r="I36" s="1872">
        <v>3000</v>
      </c>
      <c r="J36" s="1872">
        <v>1100</v>
      </c>
      <c r="K36" s="1872">
        <v>0</v>
      </c>
      <c r="L36" s="1872">
        <v>0</v>
      </c>
      <c r="M36" s="1872">
        <v>0</v>
      </c>
      <c r="N36" s="1872">
        <v>0</v>
      </c>
      <c r="O36" s="1872">
        <v>0</v>
      </c>
      <c r="P36" s="1872">
        <v>0</v>
      </c>
      <c r="Q36" s="1872"/>
      <c r="R36" s="1872"/>
      <c r="S36" s="1872"/>
      <c r="T36" s="1872"/>
      <c r="U36" s="1872"/>
      <c r="V36" s="1872"/>
      <c r="W36" s="1872"/>
      <c r="X36" s="1872"/>
      <c r="Y36" s="1872">
        <f t="shared" si="11"/>
        <v>4100</v>
      </c>
      <c r="Z36" s="1873">
        <v>2640</v>
      </c>
      <c r="AA36" s="1872">
        <f t="shared" si="12"/>
        <v>1100</v>
      </c>
    </row>
    <row r="37" spans="1:27" s="1879" customFormat="1" ht="24" customHeight="1">
      <c r="A37" s="1886" t="s">
        <v>607</v>
      </c>
      <c r="B37" s="1876" t="s">
        <v>608</v>
      </c>
      <c r="C37" s="1877" t="s">
        <v>1318</v>
      </c>
      <c r="D37" s="1878">
        <v>2008</v>
      </c>
      <c r="E37" s="1878">
        <v>2016</v>
      </c>
      <c r="F37" s="1872">
        <v>1747790</v>
      </c>
      <c r="G37" s="1872"/>
      <c r="H37" s="1872"/>
      <c r="I37" s="1872">
        <v>260000</v>
      </c>
      <c r="J37" s="1872">
        <v>260000</v>
      </c>
      <c r="K37" s="1872">
        <v>260000</v>
      </c>
      <c r="L37" s="1872">
        <v>260000</v>
      </c>
      <c r="M37" s="1872">
        <v>0</v>
      </c>
      <c r="N37" s="1872">
        <v>0</v>
      </c>
      <c r="O37" s="1872">
        <v>0</v>
      </c>
      <c r="P37" s="1872">
        <v>0</v>
      </c>
      <c r="Q37" s="1872"/>
      <c r="R37" s="1872"/>
      <c r="S37" s="1872"/>
      <c r="T37" s="1872"/>
      <c r="U37" s="1872"/>
      <c r="V37" s="1872"/>
      <c r="W37" s="1872"/>
      <c r="X37" s="1872"/>
      <c r="Y37" s="1872">
        <f t="shared" si="11"/>
        <v>1040000</v>
      </c>
      <c r="Z37" s="1873">
        <v>191052.83</v>
      </c>
      <c r="AA37" s="1872">
        <f t="shared" si="12"/>
        <v>780000</v>
      </c>
    </row>
    <row r="38" spans="1:27" s="1879" customFormat="1" ht="24" customHeight="1">
      <c r="A38" s="1886" t="s">
        <v>609</v>
      </c>
      <c r="B38" s="1891" t="s">
        <v>610</v>
      </c>
      <c r="C38" s="1877" t="s">
        <v>1351</v>
      </c>
      <c r="D38" s="1878">
        <v>2012</v>
      </c>
      <c r="E38" s="1878">
        <v>2015</v>
      </c>
      <c r="F38" s="1872">
        <v>17300</v>
      </c>
      <c r="G38" s="1872"/>
      <c r="H38" s="1872">
        <v>119100</v>
      </c>
      <c r="I38" s="1872">
        <v>5600</v>
      </c>
      <c r="J38" s="1872">
        <v>5600</v>
      </c>
      <c r="K38" s="1872">
        <v>500</v>
      </c>
      <c r="L38" s="1872">
        <v>0</v>
      </c>
      <c r="M38" s="1872">
        <v>0</v>
      </c>
      <c r="N38" s="1872">
        <v>0</v>
      </c>
      <c r="O38" s="1872">
        <v>0</v>
      </c>
      <c r="P38" s="1872">
        <v>0</v>
      </c>
      <c r="Q38" s="1872"/>
      <c r="R38" s="1872"/>
      <c r="S38" s="1872"/>
      <c r="T38" s="1872"/>
      <c r="U38" s="1872"/>
      <c r="V38" s="1872"/>
      <c r="W38" s="1872"/>
      <c r="X38" s="1872"/>
      <c r="Y38" s="1872">
        <f t="shared" si="11"/>
        <v>11700</v>
      </c>
      <c r="Z38" s="1873">
        <v>5563.92</v>
      </c>
      <c r="AA38" s="1872">
        <f t="shared" si="12"/>
        <v>6100</v>
      </c>
    </row>
    <row r="39" spans="1:27" s="1879" customFormat="1" ht="41.25" customHeight="1">
      <c r="A39" s="1886" t="s">
        <v>611</v>
      </c>
      <c r="B39" s="1891" t="s">
        <v>612</v>
      </c>
      <c r="C39" s="1877" t="s">
        <v>1318</v>
      </c>
      <c r="D39" s="1878">
        <v>2014</v>
      </c>
      <c r="E39" s="1878">
        <v>2017</v>
      </c>
      <c r="F39" s="1872">
        <v>150000</v>
      </c>
      <c r="G39" s="1872"/>
      <c r="H39" s="1872"/>
      <c r="I39" s="1872">
        <v>0</v>
      </c>
      <c r="J39" s="1872">
        <v>35000</v>
      </c>
      <c r="K39" s="1872">
        <v>50000</v>
      </c>
      <c r="L39" s="1872">
        <v>50000</v>
      </c>
      <c r="M39" s="1872">
        <v>15000</v>
      </c>
      <c r="N39" s="1872">
        <v>0</v>
      </c>
      <c r="O39" s="1872">
        <v>0</v>
      </c>
      <c r="P39" s="1872">
        <v>0</v>
      </c>
      <c r="Q39" s="1872"/>
      <c r="R39" s="1872"/>
      <c r="S39" s="1872"/>
      <c r="T39" s="1872"/>
      <c r="U39" s="1872"/>
      <c r="V39" s="1872"/>
      <c r="W39" s="1872"/>
      <c r="X39" s="1872"/>
      <c r="Y39" s="1872">
        <f t="shared" si="11"/>
        <v>150000</v>
      </c>
      <c r="Z39" s="1873">
        <v>0</v>
      </c>
      <c r="AA39" s="1872">
        <f t="shared" si="12"/>
        <v>150000</v>
      </c>
    </row>
    <row r="40" spans="1:27" s="1879" customFormat="1" ht="39" customHeight="1">
      <c r="A40" s="1886" t="s">
        <v>613</v>
      </c>
      <c r="B40" s="1891" t="s">
        <v>614</v>
      </c>
      <c r="C40" s="1877" t="s">
        <v>1342</v>
      </c>
      <c r="D40" s="1878">
        <v>2011</v>
      </c>
      <c r="E40" s="1878">
        <v>2014</v>
      </c>
      <c r="F40" s="1872">
        <v>2100000</v>
      </c>
      <c r="G40" s="1872"/>
      <c r="H40" s="1872">
        <v>750000</v>
      </c>
      <c r="I40" s="1872">
        <v>1000000</v>
      </c>
      <c r="J40" s="1872">
        <v>500000</v>
      </c>
      <c r="K40" s="1872">
        <v>0</v>
      </c>
      <c r="L40" s="1872">
        <v>0</v>
      </c>
      <c r="M40" s="1872">
        <v>0</v>
      </c>
      <c r="N40" s="1872">
        <v>0</v>
      </c>
      <c r="O40" s="1872">
        <v>0</v>
      </c>
      <c r="P40" s="1872">
        <v>0</v>
      </c>
      <c r="Q40" s="1872"/>
      <c r="R40" s="1872"/>
      <c r="S40" s="1872"/>
      <c r="T40" s="1872"/>
      <c r="U40" s="1872"/>
      <c r="V40" s="1872"/>
      <c r="W40" s="1872"/>
      <c r="X40" s="1872"/>
      <c r="Y40" s="1872">
        <f t="shared" si="11"/>
        <v>1500000</v>
      </c>
      <c r="Z40" s="1873">
        <v>1000000</v>
      </c>
      <c r="AA40" s="1872">
        <f t="shared" si="12"/>
        <v>500000</v>
      </c>
    </row>
    <row r="41" spans="1:27" s="1879" customFormat="1" ht="38.25" customHeight="1">
      <c r="A41" s="1886" t="s">
        <v>615</v>
      </c>
      <c r="B41" s="1876" t="s">
        <v>616</v>
      </c>
      <c r="C41" s="1877" t="s">
        <v>1318</v>
      </c>
      <c r="D41" s="1878">
        <v>2012</v>
      </c>
      <c r="E41" s="1878">
        <v>2015</v>
      </c>
      <c r="F41" s="1872">
        <v>14243000</v>
      </c>
      <c r="G41" s="1872"/>
      <c r="H41" s="1872"/>
      <c r="I41" s="1872">
        <v>3200000</v>
      </c>
      <c r="J41" s="1872">
        <v>3300000</v>
      </c>
      <c r="K41" s="1872">
        <v>3400000</v>
      </c>
      <c r="L41" s="1872">
        <v>0</v>
      </c>
      <c r="M41" s="1872">
        <v>0</v>
      </c>
      <c r="N41" s="1872">
        <v>0</v>
      </c>
      <c r="O41" s="1872">
        <v>0</v>
      </c>
      <c r="P41" s="1872">
        <v>0</v>
      </c>
      <c r="Q41" s="1872"/>
      <c r="R41" s="1872"/>
      <c r="S41" s="1872"/>
      <c r="T41" s="1872"/>
      <c r="U41" s="1872"/>
      <c r="V41" s="1872"/>
      <c r="W41" s="1872"/>
      <c r="X41" s="1872"/>
      <c r="Y41" s="1872">
        <f t="shared" si="11"/>
        <v>9900000</v>
      </c>
      <c r="Z41" s="1873">
        <v>3079224.47</v>
      </c>
      <c r="AA41" s="1872">
        <f t="shared" si="12"/>
        <v>6700000</v>
      </c>
    </row>
    <row r="42" spans="1:27" s="1879" customFormat="1" ht="50.25" customHeight="1">
      <c r="A42" s="1886" t="s">
        <v>617</v>
      </c>
      <c r="B42" s="1876" t="s">
        <v>618</v>
      </c>
      <c r="C42" s="1877" t="s">
        <v>1318</v>
      </c>
      <c r="D42" s="1878">
        <v>2008</v>
      </c>
      <c r="E42" s="1878">
        <v>2016</v>
      </c>
      <c r="F42" s="1872">
        <v>4000000</v>
      </c>
      <c r="G42" s="1872"/>
      <c r="H42" s="1872"/>
      <c r="I42" s="1872">
        <v>800000</v>
      </c>
      <c r="J42" s="1872">
        <v>800000</v>
      </c>
      <c r="K42" s="1872">
        <v>800000</v>
      </c>
      <c r="L42" s="1872">
        <v>800000</v>
      </c>
      <c r="M42" s="1872">
        <v>0</v>
      </c>
      <c r="N42" s="1872">
        <v>0</v>
      </c>
      <c r="O42" s="1872">
        <v>0</v>
      </c>
      <c r="P42" s="1872">
        <v>0</v>
      </c>
      <c r="Q42" s="1872"/>
      <c r="R42" s="1872"/>
      <c r="S42" s="1872"/>
      <c r="T42" s="1872"/>
      <c r="U42" s="1872"/>
      <c r="V42" s="1872"/>
      <c r="W42" s="1872"/>
      <c r="X42" s="1872"/>
      <c r="Y42" s="1872">
        <f t="shared" si="11"/>
        <v>3200000</v>
      </c>
      <c r="Z42" s="1873">
        <v>505685.64</v>
      </c>
      <c r="AA42" s="1872">
        <f t="shared" si="12"/>
        <v>2400000</v>
      </c>
    </row>
    <row r="43" spans="1:27" s="1879" customFormat="1" ht="29.25" customHeight="1">
      <c r="A43" s="1886" t="s">
        <v>619</v>
      </c>
      <c r="B43" s="1891" t="s">
        <v>620</v>
      </c>
      <c r="C43" s="1877" t="s">
        <v>1326</v>
      </c>
      <c r="D43" s="1878">
        <v>2012</v>
      </c>
      <c r="E43" s="1878">
        <v>2014</v>
      </c>
      <c r="F43" s="1872">
        <v>3763</v>
      </c>
      <c r="G43" s="1872"/>
      <c r="H43" s="1872">
        <v>1328</v>
      </c>
      <c r="I43" s="1872">
        <v>1328</v>
      </c>
      <c r="J43" s="1872">
        <v>1107</v>
      </c>
      <c r="K43" s="1872">
        <v>0</v>
      </c>
      <c r="L43" s="1872">
        <v>0</v>
      </c>
      <c r="M43" s="1872">
        <v>0</v>
      </c>
      <c r="N43" s="1872">
        <v>0</v>
      </c>
      <c r="O43" s="1872">
        <v>0</v>
      </c>
      <c r="P43" s="1872">
        <v>0</v>
      </c>
      <c r="Q43" s="1872"/>
      <c r="R43" s="1872"/>
      <c r="S43" s="1872"/>
      <c r="T43" s="1872"/>
      <c r="U43" s="1872"/>
      <c r="V43" s="1872"/>
      <c r="W43" s="1872"/>
      <c r="X43" s="1872"/>
      <c r="Y43" s="1872">
        <f t="shared" si="11"/>
        <v>2435</v>
      </c>
      <c r="Z43" s="1873">
        <v>1328</v>
      </c>
      <c r="AA43" s="1872">
        <f t="shared" si="12"/>
        <v>1107</v>
      </c>
    </row>
    <row r="44" spans="1:27" s="1879" customFormat="1" ht="26.25" customHeight="1">
      <c r="A44" s="1886" t="s">
        <v>621</v>
      </c>
      <c r="B44" s="1891" t="s">
        <v>622</v>
      </c>
      <c r="C44" s="1877" t="s">
        <v>1326</v>
      </c>
      <c r="D44" s="1878">
        <v>2012</v>
      </c>
      <c r="E44" s="1878">
        <v>2016</v>
      </c>
      <c r="F44" s="1872">
        <v>101497</v>
      </c>
      <c r="G44" s="1872"/>
      <c r="H44" s="1872">
        <v>20098</v>
      </c>
      <c r="I44" s="1872">
        <v>20098</v>
      </c>
      <c r="J44" s="1872">
        <v>20098</v>
      </c>
      <c r="K44" s="1872">
        <v>20098</v>
      </c>
      <c r="L44" s="1872">
        <v>20098</v>
      </c>
      <c r="M44" s="1872">
        <v>0</v>
      </c>
      <c r="N44" s="1872">
        <v>0</v>
      </c>
      <c r="O44" s="1872">
        <v>0</v>
      </c>
      <c r="P44" s="1872">
        <v>0</v>
      </c>
      <c r="Q44" s="1872"/>
      <c r="R44" s="1872"/>
      <c r="S44" s="1872"/>
      <c r="T44" s="1872"/>
      <c r="U44" s="1872"/>
      <c r="V44" s="1872"/>
      <c r="W44" s="1872"/>
      <c r="X44" s="1872"/>
      <c r="Y44" s="1872">
        <f t="shared" si="11"/>
        <v>80392</v>
      </c>
      <c r="Z44" s="1873">
        <v>20098</v>
      </c>
      <c r="AA44" s="1872">
        <f t="shared" si="12"/>
        <v>60294</v>
      </c>
    </row>
    <row r="45" spans="1:27" s="1879" customFormat="1" ht="30" customHeight="1">
      <c r="A45" s="1886" t="s">
        <v>623</v>
      </c>
      <c r="B45" s="1891" t="s">
        <v>624</v>
      </c>
      <c r="C45" s="1877" t="s">
        <v>1342</v>
      </c>
      <c r="D45" s="1878">
        <v>2013</v>
      </c>
      <c r="E45" s="1878">
        <v>2014</v>
      </c>
      <c r="F45" s="1872">
        <v>100000</v>
      </c>
      <c r="G45" s="1872"/>
      <c r="H45" s="1872">
        <v>78000</v>
      </c>
      <c r="I45" s="1872">
        <v>50000</v>
      </c>
      <c r="J45" s="1872">
        <v>50000</v>
      </c>
      <c r="K45" s="1872">
        <v>0</v>
      </c>
      <c r="L45" s="1872">
        <v>0</v>
      </c>
      <c r="M45" s="1872">
        <v>0</v>
      </c>
      <c r="N45" s="1872">
        <v>0</v>
      </c>
      <c r="O45" s="1872">
        <v>0</v>
      </c>
      <c r="P45" s="1872">
        <v>0</v>
      </c>
      <c r="Q45" s="1872"/>
      <c r="R45" s="1872"/>
      <c r="S45" s="1872"/>
      <c r="T45" s="1872"/>
      <c r="U45" s="1872"/>
      <c r="V45" s="1872"/>
      <c r="W45" s="1872"/>
      <c r="X45" s="1872"/>
      <c r="Y45" s="1872">
        <f t="shared" si="11"/>
        <v>100000</v>
      </c>
      <c r="Z45" s="1873">
        <v>6881.12</v>
      </c>
      <c r="AA45" s="1872">
        <f t="shared" si="12"/>
        <v>50000</v>
      </c>
    </row>
    <row r="46" spans="1:27" s="1879" customFormat="1" ht="24">
      <c r="A46" s="1886" t="s">
        <v>625</v>
      </c>
      <c r="B46" s="1891" t="s">
        <v>626</v>
      </c>
      <c r="C46" s="1877" t="s">
        <v>627</v>
      </c>
      <c r="D46" s="1878">
        <v>2012</v>
      </c>
      <c r="E46" s="1878">
        <v>2014</v>
      </c>
      <c r="F46" s="1872">
        <v>39000</v>
      </c>
      <c r="G46" s="1872"/>
      <c r="H46" s="1872">
        <v>13000</v>
      </c>
      <c r="I46" s="1872">
        <v>13000</v>
      </c>
      <c r="J46" s="1872">
        <v>13000</v>
      </c>
      <c r="K46" s="1872">
        <v>0</v>
      </c>
      <c r="L46" s="1872">
        <v>0</v>
      </c>
      <c r="M46" s="1872">
        <v>0</v>
      </c>
      <c r="N46" s="1872">
        <v>0</v>
      </c>
      <c r="O46" s="1872">
        <v>0</v>
      </c>
      <c r="P46" s="1872">
        <v>0</v>
      </c>
      <c r="Q46" s="1872"/>
      <c r="R46" s="1872"/>
      <c r="S46" s="1872"/>
      <c r="T46" s="1872"/>
      <c r="U46" s="1872"/>
      <c r="V46" s="1872"/>
      <c r="W46" s="1872"/>
      <c r="X46" s="1872"/>
      <c r="Y46" s="1872">
        <f t="shared" si="11"/>
        <v>26000</v>
      </c>
      <c r="Z46" s="1873">
        <v>4235.2</v>
      </c>
      <c r="AA46" s="1872">
        <f t="shared" si="12"/>
        <v>13000</v>
      </c>
    </row>
    <row r="47" spans="1:27" s="1879" customFormat="1" ht="51" customHeight="1">
      <c r="A47" s="1886" t="s">
        <v>628</v>
      </c>
      <c r="B47" s="1891" t="s">
        <v>629</v>
      </c>
      <c r="C47" s="1877" t="s">
        <v>627</v>
      </c>
      <c r="D47" s="1878">
        <v>2012</v>
      </c>
      <c r="E47" s="1878">
        <v>2014</v>
      </c>
      <c r="F47" s="1872">
        <v>35000</v>
      </c>
      <c r="G47" s="1872"/>
      <c r="H47" s="1872">
        <v>10000</v>
      </c>
      <c r="I47" s="1872">
        <v>15000</v>
      </c>
      <c r="J47" s="1872">
        <v>10000</v>
      </c>
      <c r="K47" s="1872">
        <v>0</v>
      </c>
      <c r="L47" s="1872">
        <v>0</v>
      </c>
      <c r="M47" s="1872">
        <v>0</v>
      </c>
      <c r="N47" s="1872">
        <v>0</v>
      </c>
      <c r="O47" s="1872">
        <v>0</v>
      </c>
      <c r="P47" s="1872">
        <v>0</v>
      </c>
      <c r="Q47" s="1872"/>
      <c r="R47" s="1872"/>
      <c r="S47" s="1872"/>
      <c r="T47" s="1872"/>
      <c r="U47" s="1872"/>
      <c r="V47" s="1872"/>
      <c r="W47" s="1872"/>
      <c r="X47" s="1872"/>
      <c r="Y47" s="1872">
        <f t="shared" si="11"/>
        <v>25000</v>
      </c>
      <c r="Z47" s="1873">
        <v>14600</v>
      </c>
      <c r="AA47" s="1872">
        <f t="shared" si="12"/>
        <v>10000</v>
      </c>
    </row>
    <row r="48" spans="1:27" s="1879" customFormat="1" ht="51.75" customHeight="1">
      <c r="A48" s="1886" t="s">
        <v>630</v>
      </c>
      <c r="B48" s="1891" t="s">
        <v>631</v>
      </c>
      <c r="C48" s="1877" t="s">
        <v>627</v>
      </c>
      <c r="D48" s="1878">
        <v>2012</v>
      </c>
      <c r="E48" s="1878">
        <v>2014</v>
      </c>
      <c r="F48" s="1872">
        <v>40000</v>
      </c>
      <c r="G48" s="1872"/>
      <c r="H48" s="1872">
        <v>10000</v>
      </c>
      <c r="I48" s="1872">
        <v>20000</v>
      </c>
      <c r="J48" s="1872">
        <v>10000</v>
      </c>
      <c r="K48" s="1872">
        <v>0</v>
      </c>
      <c r="L48" s="1872">
        <v>0</v>
      </c>
      <c r="M48" s="1872">
        <v>0</v>
      </c>
      <c r="N48" s="1872">
        <v>0</v>
      </c>
      <c r="O48" s="1872">
        <v>0</v>
      </c>
      <c r="P48" s="1872">
        <v>0</v>
      </c>
      <c r="Q48" s="1872"/>
      <c r="R48" s="1872"/>
      <c r="S48" s="1872"/>
      <c r="T48" s="1872"/>
      <c r="U48" s="1872"/>
      <c r="V48" s="1872"/>
      <c r="W48" s="1872"/>
      <c r="X48" s="1872"/>
      <c r="Y48" s="1872">
        <f t="shared" si="11"/>
        <v>30000</v>
      </c>
      <c r="Z48" s="1873">
        <v>0</v>
      </c>
      <c r="AA48" s="1872">
        <f t="shared" si="12"/>
        <v>10000</v>
      </c>
    </row>
    <row r="49" spans="1:27" s="1879" customFormat="1" ht="51" customHeight="1">
      <c r="A49" s="1886" t="s">
        <v>632</v>
      </c>
      <c r="B49" s="1891" t="s">
        <v>633</v>
      </c>
      <c r="C49" s="1877" t="s">
        <v>627</v>
      </c>
      <c r="D49" s="1878">
        <v>2012</v>
      </c>
      <c r="E49" s="1878">
        <v>2014</v>
      </c>
      <c r="F49" s="1872">
        <v>50000</v>
      </c>
      <c r="G49" s="1872"/>
      <c r="H49" s="1872">
        <v>7400</v>
      </c>
      <c r="I49" s="1872">
        <v>20000</v>
      </c>
      <c r="J49" s="1872">
        <v>22600</v>
      </c>
      <c r="K49" s="1872">
        <v>0</v>
      </c>
      <c r="L49" s="1872">
        <v>0</v>
      </c>
      <c r="M49" s="1872">
        <v>0</v>
      </c>
      <c r="N49" s="1872">
        <v>0</v>
      </c>
      <c r="O49" s="1872">
        <v>0</v>
      </c>
      <c r="P49" s="1872">
        <v>0</v>
      </c>
      <c r="Q49" s="1872"/>
      <c r="R49" s="1872"/>
      <c r="S49" s="1872"/>
      <c r="T49" s="1872"/>
      <c r="U49" s="1872"/>
      <c r="V49" s="1872"/>
      <c r="W49" s="1872"/>
      <c r="X49" s="1872"/>
      <c r="Y49" s="1872">
        <f t="shared" si="11"/>
        <v>42600</v>
      </c>
      <c r="Z49" s="1873">
        <v>0</v>
      </c>
      <c r="AA49" s="1872">
        <f t="shared" si="12"/>
        <v>22600</v>
      </c>
    </row>
    <row r="50" spans="1:27" s="1879" customFormat="1" ht="54" customHeight="1">
      <c r="A50" s="1886" t="s">
        <v>634</v>
      </c>
      <c r="B50" s="1891" t="s">
        <v>635</v>
      </c>
      <c r="C50" s="1877" t="s">
        <v>627</v>
      </c>
      <c r="D50" s="1878">
        <v>2013</v>
      </c>
      <c r="E50" s="1878">
        <v>2015</v>
      </c>
      <c r="F50" s="1872">
        <v>49200</v>
      </c>
      <c r="G50" s="1872"/>
      <c r="H50" s="1872">
        <v>5000</v>
      </c>
      <c r="I50" s="1872">
        <v>7380</v>
      </c>
      <c r="J50" s="1872">
        <v>36900</v>
      </c>
      <c r="K50" s="1872">
        <v>4920</v>
      </c>
      <c r="L50" s="1872">
        <v>0</v>
      </c>
      <c r="M50" s="1872">
        <v>0</v>
      </c>
      <c r="N50" s="1872">
        <v>0</v>
      </c>
      <c r="O50" s="1872">
        <v>0</v>
      </c>
      <c r="P50" s="1872">
        <v>0</v>
      </c>
      <c r="Q50" s="1872"/>
      <c r="R50" s="1872"/>
      <c r="S50" s="1872"/>
      <c r="T50" s="1872"/>
      <c r="U50" s="1872"/>
      <c r="V50" s="1872"/>
      <c r="W50" s="1872"/>
      <c r="X50" s="1872"/>
      <c r="Y50" s="1872">
        <f t="shared" si="11"/>
        <v>49200</v>
      </c>
      <c r="Z50" s="1892">
        <v>7380</v>
      </c>
      <c r="AA50" s="1872">
        <f t="shared" si="12"/>
        <v>41820</v>
      </c>
    </row>
    <row r="51" spans="1:27" s="1879" customFormat="1" ht="49.5" customHeight="1">
      <c r="A51" s="1886" t="s">
        <v>636</v>
      </c>
      <c r="B51" s="1891" t="s">
        <v>637</v>
      </c>
      <c r="C51" s="1877" t="s">
        <v>627</v>
      </c>
      <c r="D51" s="1878">
        <v>2012</v>
      </c>
      <c r="E51" s="1878">
        <v>2014</v>
      </c>
      <c r="F51" s="1872">
        <v>50000</v>
      </c>
      <c r="G51" s="1872"/>
      <c r="H51" s="1872">
        <v>10000</v>
      </c>
      <c r="I51" s="1872">
        <v>25000</v>
      </c>
      <c r="J51" s="1872">
        <v>15000</v>
      </c>
      <c r="K51" s="1872">
        <v>0</v>
      </c>
      <c r="L51" s="1872">
        <v>0</v>
      </c>
      <c r="M51" s="1872">
        <v>0</v>
      </c>
      <c r="N51" s="1872">
        <v>0</v>
      </c>
      <c r="O51" s="1872">
        <v>0</v>
      </c>
      <c r="P51" s="1872">
        <v>0</v>
      </c>
      <c r="Q51" s="1872"/>
      <c r="R51" s="1872"/>
      <c r="S51" s="1872"/>
      <c r="T51" s="1872"/>
      <c r="U51" s="1872"/>
      <c r="V51" s="1872"/>
      <c r="W51" s="1872"/>
      <c r="X51" s="1872"/>
      <c r="Y51" s="1872">
        <f t="shared" si="11"/>
        <v>40000</v>
      </c>
      <c r="Z51" s="1873">
        <v>0</v>
      </c>
      <c r="AA51" s="1872">
        <f t="shared" si="12"/>
        <v>15000</v>
      </c>
    </row>
    <row r="52" spans="1:27" s="1879" customFormat="1" ht="51.75" customHeight="1">
      <c r="A52" s="1886" t="s">
        <v>638</v>
      </c>
      <c r="B52" s="1891" t="s">
        <v>639</v>
      </c>
      <c r="C52" s="1877" t="s">
        <v>627</v>
      </c>
      <c r="D52" s="1878">
        <v>2012</v>
      </c>
      <c r="E52" s="1878">
        <v>2014</v>
      </c>
      <c r="F52" s="1872">
        <v>50000</v>
      </c>
      <c r="G52" s="1872"/>
      <c r="H52" s="1872">
        <v>15000</v>
      </c>
      <c r="I52" s="1872">
        <v>25000</v>
      </c>
      <c r="J52" s="1872">
        <v>10000</v>
      </c>
      <c r="K52" s="1872">
        <v>0</v>
      </c>
      <c r="L52" s="1872">
        <v>0</v>
      </c>
      <c r="M52" s="1872">
        <v>0</v>
      </c>
      <c r="N52" s="1872">
        <v>0</v>
      </c>
      <c r="O52" s="1872">
        <v>0</v>
      </c>
      <c r="P52" s="1872">
        <v>0</v>
      </c>
      <c r="Q52" s="1872"/>
      <c r="R52" s="1872"/>
      <c r="S52" s="1872"/>
      <c r="T52" s="1872"/>
      <c r="U52" s="1872"/>
      <c r="V52" s="1872"/>
      <c r="W52" s="1872"/>
      <c r="X52" s="1872"/>
      <c r="Y52" s="1872">
        <f t="shared" si="11"/>
        <v>35000</v>
      </c>
      <c r="Z52" s="1873">
        <v>0</v>
      </c>
      <c r="AA52" s="1872">
        <f t="shared" si="12"/>
        <v>10000</v>
      </c>
    </row>
    <row r="53" spans="1:27" s="1879" customFormat="1" ht="39" customHeight="1" hidden="1">
      <c r="A53" s="1886" t="s">
        <v>640</v>
      </c>
      <c r="B53" s="1891" t="s">
        <v>641</v>
      </c>
      <c r="C53" s="1877" t="s">
        <v>627</v>
      </c>
      <c r="D53" s="1878">
        <v>2013</v>
      </c>
      <c r="E53" s="1878">
        <v>2014</v>
      </c>
      <c r="F53" s="1872">
        <v>0</v>
      </c>
      <c r="G53" s="1872"/>
      <c r="H53" s="1872">
        <v>10000</v>
      </c>
      <c r="I53" s="1872">
        <v>0</v>
      </c>
      <c r="J53" s="1872">
        <v>0</v>
      </c>
      <c r="K53" s="1872">
        <v>0</v>
      </c>
      <c r="L53" s="1872">
        <v>0</v>
      </c>
      <c r="M53" s="1872">
        <v>0</v>
      </c>
      <c r="N53" s="1872">
        <v>0</v>
      </c>
      <c r="O53" s="1872">
        <v>0</v>
      </c>
      <c r="P53" s="1872">
        <v>0</v>
      </c>
      <c r="Q53" s="1872"/>
      <c r="R53" s="1872"/>
      <c r="S53" s="1872"/>
      <c r="T53" s="1872"/>
      <c r="U53" s="1872"/>
      <c r="V53" s="1872"/>
      <c r="W53" s="1872"/>
      <c r="X53" s="1872"/>
      <c r="Y53" s="1872">
        <f t="shared" si="11"/>
        <v>0</v>
      </c>
      <c r="Z53" s="1873">
        <f>SUM(J53:Q53)</f>
        <v>0</v>
      </c>
      <c r="AA53" s="1872">
        <f t="shared" si="12"/>
        <v>0</v>
      </c>
    </row>
    <row r="54" spans="1:27" s="1879" customFormat="1" ht="28.5" customHeight="1">
      <c r="A54" s="1886" t="s">
        <v>640</v>
      </c>
      <c r="B54" s="1891" t="s">
        <v>642</v>
      </c>
      <c r="C54" s="1877" t="s">
        <v>627</v>
      </c>
      <c r="D54" s="1878">
        <v>2013</v>
      </c>
      <c r="E54" s="1878">
        <v>2014</v>
      </c>
      <c r="F54" s="1872">
        <v>50000</v>
      </c>
      <c r="G54" s="1872"/>
      <c r="H54" s="1872">
        <v>0</v>
      </c>
      <c r="I54" s="1872">
        <v>20000</v>
      </c>
      <c r="J54" s="1872">
        <v>30000</v>
      </c>
      <c r="K54" s="1872">
        <v>0</v>
      </c>
      <c r="L54" s="1872">
        <v>0</v>
      </c>
      <c r="M54" s="1872">
        <v>0</v>
      </c>
      <c r="N54" s="1872">
        <v>0</v>
      </c>
      <c r="O54" s="1872">
        <v>0</v>
      </c>
      <c r="P54" s="1872">
        <v>0</v>
      </c>
      <c r="Q54" s="1872"/>
      <c r="R54" s="1872"/>
      <c r="S54" s="1872"/>
      <c r="T54" s="1872"/>
      <c r="U54" s="1872"/>
      <c r="V54" s="1872"/>
      <c r="W54" s="1872"/>
      <c r="X54" s="1872"/>
      <c r="Y54" s="1872">
        <f t="shared" si="11"/>
        <v>50000</v>
      </c>
      <c r="Z54" s="1873">
        <v>0</v>
      </c>
      <c r="AA54" s="1872">
        <f t="shared" si="12"/>
        <v>30000</v>
      </c>
    </row>
    <row r="55" spans="1:27" s="1879" customFormat="1" ht="25.5" customHeight="1">
      <c r="A55" s="1886" t="s">
        <v>643</v>
      </c>
      <c r="B55" s="1891" t="s">
        <v>644</v>
      </c>
      <c r="C55" s="1877" t="s">
        <v>1342</v>
      </c>
      <c r="D55" s="1878">
        <v>2010</v>
      </c>
      <c r="E55" s="1878">
        <v>2017</v>
      </c>
      <c r="F55" s="1872">
        <v>2785600</v>
      </c>
      <c r="G55" s="1872"/>
      <c r="H55" s="1872">
        <v>292800</v>
      </c>
      <c r="I55" s="1872">
        <v>350000</v>
      </c>
      <c r="J55" s="1872">
        <v>450000</v>
      </c>
      <c r="K55" s="1872">
        <v>450000</v>
      </c>
      <c r="L55" s="1872">
        <v>450000</v>
      </c>
      <c r="M55" s="1872">
        <v>500000</v>
      </c>
      <c r="N55" s="1872">
        <v>0</v>
      </c>
      <c r="O55" s="1872">
        <v>0</v>
      </c>
      <c r="P55" s="1872">
        <v>0</v>
      </c>
      <c r="Q55" s="1872"/>
      <c r="R55" s="1872"/>
      <c r="S55" s="1872"/>
      <c r="T55" s="1872"/>
      <c r="U55" s="1872"/>
      <c r="V55" s="1872"/>
      <c r="W55" s="1872"/>
      <c r="X55" s="1872"/>
      <c r="Y55" s="1872">
        <f t="shared" si="11"/>
        <v>2200000</v>
      </c>
      <c r="Z55" s="1873">
        <v>292800</v>
      </c>
      <c r="AA55" s="1872">
        <f t="shared" si="12"/>
        <v>1850000</v>
      </c>
    </row>
    <row r="56" spans="1:27" s="1879" customFormat="1" ht="24">
      <c r="A56" s="1886" t="s">
        <v>645</v>
      </c>
      <c r="B56" s="1891" t="s">
        <v>646</v>
      </c>
      <c r="C56" s="1877" t="s">
        <v>647</v>
      </c>
      <c r="D56" s="1878">
        <v>2013</v>
      </c>
      <c r="E56" s="1878">
        <v>2015</v>
      </c>
      <c r="F56" s="1872">
        <v>819000</v>
      </c>
      <c r="G56" s="1872"/>
      <c r="H56" s="1872">
        <v>240000</v>
      </c>
      <c r="I56" s="1875">
        <v>273000</v>
      </c>
      <c r="J56" s="1872">
        <v>260000</v>
      </c>
      <c r="K56" s="1893">
        <v>247000</v>
      </c>
      <c r="L56" s="1872">
        <v>0</v>
      </c>
      <c r="M56" s="1872">
        <v>0</v>
      </c>
      <c r="N56" s="1872">
        <v>0</v>
      </c>
      <c r="O56" s="1872">
        <v>0</v>
      </c>
      <c r="P56" s="1872">
        <v>0</v>
      </c>
      <c r="Q56" s="1872"/>
      <c r="R56" s="1872"/>
      <c r="S56" s="1872"/>
      <c r="T56" s="1872"/>
      <c r="U56" s="1872"/>
      <c r="V56" s="1872"/>
      <c r="W56" s="1872"/>
      <c r="X56" s="1872"/>
      <c r="Y56" s="1872">
        <f t="shared" si="11"/>
        <v>780000</v>
      </c>
      <c r="Z56" s="1873">
        <v>254214.81</v>
      </c>
      <c r="AA56" s="1872">
        <f t="shared" si="12"/>
        <v>507000</v>
      </c>
    </row>
    <row r="57" spans="1:27" s="1879" customFormat="1" ht="27.75" customHeight="1">
      <c r="A57" s="1886" t="s">
        <v>648</v>
      </c>
      <c r="B57" s="1891" t="s">
        <v>649</v>
      </c>
      <c r="C57" s="1877" t="s">
        <v>647</v>
      </c>
      <c r="D57" s="1878">
        <v>2012</v>
      </c>
      <c r="E57" s="1878">
        <v>2015</v>
      </c>
      <c r="F57" s="1872">
        <v>335000</v>
      </c>
      <c r="G57" s="1872"/>
      <c r="H57" s="1872">
        <v>100000</v>
      </c>
      <c r="I57" s="1872">
        <v>100000</v>
      </c>
      <c r="J57" s="1872">
        <v>100000</v>
      </c>
      <c r="K57" s="1872">
        <v>100000</v>
      </c>
      <c r="L57" s="1872">
        <v>0</v>
      </c>
      <c r="M57" s="1872">
        <v>0</v>
      </c>
      <c r="N57" s="1872">
        <v>0</v>
      </c>
      <c r="O57" s="1872">
        <v>0</v>
      </c>
      <c r="P57" s="1872">
        <v>0</v>
      </c>
      <c r="Q57" s="1872"/>
      <c r="R57" s="1872"/>
      <c r="S57" s="1872"/>
      <c r="T57" s="1872"/>
      <c r="U57" s="1872"/>
      <c r="V57" s="1872"/>
      <c r="W57" s="1872"/>
      <c r="X57" s="1872"/>
      <c r="Y57" s="1872">
        <f t="shared" si="11"/>
        <v>300000</v>
      </c>
      <c r="Z57" s="1873">
        <v>28613.4</v>
      </c>
      <c r="AA57" s="1872">
        <f t="shared" si="12"/>
        <v>200000</v>
      </c>
    </row>
    <row r="58" spans="1:27" s="1879" customFormat="1" ht="60.75" customHeight="1">
      <c r="A58" s="1886" t="s">
        <v>650</v>
      </c>
      <c r="B58" s="1891" t="s">
        <v>651</v>
      </c>
      <c r="C58" s="1877" t="s">
        <v>652</v>
      </c>
      <c r="D58" s="1878">
        <v>2013</v>
      </c>
      <c r="E58" s="1878">
        <v>2017</v>
      </c>
      <c r="F58" s="1872">
        <v>3997500</v>
      </c>
      <c r="G58" s="1872"/>
      <c r="H58" s="1872">
        <v>5000</v>
      </c>
      <c r="I58" s="1872">
        <v>282000</v>
      </c>
      <c r="J58" s="1872">
        <v>715500</v>
      </c>
      <c r="K58" s="1872">
        <v>1000000</v>
      </c>
      <c r="L58" s="1872">
        <v>1000000</v>
      </c>
      <c r="M58" s="1872">
        <v>1000000</v>
      </c>
      <c r="N58" s="1872">
        <v>0</v>
      </c>
      <c r="O58" s="1872">
        <v>0</v>
      </c>
      <c r="P58" s="1872">
        <v>0</v>
      </c>
      <c r="Q58" s="1872"/>
      <c r="R58" s="1872"/>
      <c r="S58" s="1872"/>
      <c r="T58" s="1872"/>
      <c r="U58" s="1872"/>
      <c r="V58" s="1872"/>
      <c r="W58" s="1872"/>
      <c r="X58" s="1872"/>
      <c r="Y58" s="1872">
        <f t="shared" si="11"/>
        <v>3997500</v>
      </c>
      <c r="Z58" s="1873">
        <v>0</v>
      </c>
      <c r="AA58" s="1872">
        <f t="shared" si="12"/>
        <v>3715500</v>
      </c>
    </row>
    <row r="59" spans="1:27" s="1879" customFormat="1" ht="25.5" customHeight="1">
      <c r="A59" s="1886" t="s">
        <v>653</v>
      </c>
      <c r="B59" s="1891" t="s">
        <v>654</v>
      </c>
      <c r="C59" s="1877" t="s">
        <v>655</v>
      </c>
      <c r="D59" s="1878">
        <v>2012</v>
      </c>
      <c r="E59" s="1878">
        <v>2015</v>
      </c>
      <c r="F59" s="1872">
        <v>31200</v>
      </c>
      <c r="G59" s="1872"/>
      <c r="H59" s="1872">
        <v>5000</v>
      </c>
      <c r="I59" s="1872">
        <v>10800</v>
      </c>
      <c r="J59" s="1872">
        <v>10800</v>
      </c>
      <c r="K59" s="1872">
        <v>7200</v>
      </c>
      <c r="L59" s="1872">
        <v>0</v>
      </c>
      <c r="M59" s="1872">
        <v>0</v>
      </c>
      <c r="N59" s="1872">
        <v>0</v>
      </c>
      <c r="O59" s="1872">
        <v>0</v>
      </c>
      <c r="P59" s="1872">
        <v>0</v>
      </c>
      <c r="Q59" s="1872"/>
      <c r="R59" s="1872"/>
      <c r="S59" s="1872"/>
      <c r="T59" s="1872"/>
      <c r="U59" s="1872"/>
      <c r="V59" s="1872"/>
      <c r="W59" s="1872"/>
      <c r="X59" s="1872"/>
      <c r="Y59" s="1872">
        <f t="shared" si="11"/>
        <v>28800</v>
      </c>
      <c r="Z59" s="1873">
        <v>7498.58</v>
      </c>
      <c r="AA59" s="1872">
        <f t="shared" si="12"/>
        <v>18000</v>
      </c>
    </row>
    <row r="60" spans="1:27" s="1879" customFormat="1" ht="28.5" customHeight="1">
      <c r="A60" s="1886" t="s">
        <v>656</v>
      </c>
      <c r="B60" s="1891" t="s">
        <v>657</v>
      </c>
      <c r="C60" s="1877" t="s">
        <v>655</v>
      </c>
      <c r="D60" s="1878">
        <v>2013</v>
      </c>
      <c r="E60" s="1878">
        <v>2015</v>
      </c>
      <c r="F60" s="1872">
        <v>194400</v>
      </c>
      <c r="G60" s="1872"/>
      <c r="H60" s="1872">
        <v>5000</v>
      </c>
      <c r="I60" s="1872">
        <v>64800</v>
      </c>
      <c r="J60" s="1872">
        <v>64800</v>
      </c>
      <c r="K60" s="1872">
        <v>64800</v>
      </c>
      <c r="L60" s="1872">
        <v>0</v>
      </c>
      <c r="M60" s="1872">
        <v>0</v>
      </c>
      <c r="N60" s="1872">
        <v>0</v>
      </c>
      <c r="O60" s="1872">
        <v>0</v>
      </c>
      <c r="P60" s="1872">
        <v>0</v>
      </c>
      <c r="Q60" s="1872"/>
      <c r="R60" s="1872"/>
      <c r="S60" s="1872"/>
      <c r="T60" s="1872"/>
      <c r="U60" s="1872"/>
      <c r="V60" s="1872"/>
      <c r="W60" s="1872"/>
      <c r="X60" s="1872"/>
      <c r="Y60" s="1872">
        <f t="shared" si="11"/>
        <v>194400</v>
      </c>
      <c r="Z60" s="1873">
        <v>63645.12</v>
      </c>
      <c r="AA60" s="1872">
        <f t="shared" si="12"/>
        <v>129600</v>
      </c>
    </row>
    <row r="61" spans="1:27" s="1879" customFormat="1" ht="25.5" customHeight="1">
      <c r="A61" s="1886" t="s">
        <v>658</v>
      </c>
      <c r="B61" s="1891" t="s">
        <v>659</v>
      </c>
      <c r="C61" s="1877" t="s">
        <v>655</v>
      </c>
      <c r="D61" s="1878">
        <v>2013</v>
      </c>
      <c r="E61" s="1878">
        <v>2015</v>
      </c>
      <c r="F61" s="1872">
        <v>4428</v>
      </c>
      <c r="G61" s="1872"/>
      <c r="H61" s="1872">
        <v>5000</v>
      </c>
      <c r="I61" s="1872">
        <v>1476</v>
      </c>
      <c r="J61" s="1872">
        <v>1476</v>
      </c>
      <c r="K61" s="1872">
        <v>1476</v>
      </c>
      <c r="L61" s="1872">
        <v>0</v>
      </c>
      <c r="M61" s="1872">
        <v>0</v>
      </c>
      <c r="N61" s="1872">
        <v>0</v>
      </c>
      <c r="O61" s="1872">
        <v>0</v>
      </c>
      <c r="P61" s="1872">
        <v>0</v>
      </c>
      <c r="Q61" s="1872"/>
      <c r="R61" s="1872"/>
      <c r="S61" s="1872"/>
      <c r="T61" s="1872"/>
      <c r="U61" s="1872"/>
      <c r="V61" s="1872"/>
      <c r="W61" s="1872"/>
      <c r="X61" s="1872"/>
      <c r="Y61" s="1872">
        <f t="shared" si="11"/>
        <v>4428</v>
      </c>
      <c r="Z61" s="1873">
        <v>1476</v>
      </c>
      <c r="AA61" s="1872">
        <f t="shared" si="12"/>
        <v>2952</v>
      </c>
    </row>
    <row r="62" spans="1:27" s="1879" customFormat="1" ht="25.5" customHeight="1">
      <c r="A62" s="1886" t="s">
        <v>660</v>
      </c>
      <c r="B62" s="1891" t="s">
        <v>661</v>
      </c>
      <c r="C62" s="1877" t="s">
        <v>662</v>
      </c>
      <c r="D62" s="1878">
        <v>2013</v>
      </c>
      <c r="E62" s="1878">
        <v>2015</v>
      </c>
      <c r="F62" s="1872">
        <v>270000</v>
      </c>
      <c r="G62" s="1872"/>
      <c r="H62" s="1872">
        <v>6600</v>
      </c>
      <c r="I62" s="1872">
        <v>90000</v>
      </c>
      <c r="J62" s="1872">
        <v>90000</v>
      </c>
      <c r="K62" s="1872">
        <v>90000</v>
      </c>
      <c r="L62" s="1872">
        <v>0</v>
      </c>
      <c r="M62" s="1872">
        <v>0</v>
      </c>
      <c r="N62" s="1872">
        <v>0</v>
      </c>
      <c r="O62" s="1872">
        <v>0</v>
      </c>
      <c r="P62" s="1872">
        <v>0</v>
      </c>
      <c r="Q62" s="1872"/>
      <c r="R62" s="1872"/>
      <c r="S62" s="1872"/>
      <c r="T62" s="1872"/>
      <c r="U62" s="1872"/>
      <c r="V62" s="1872"/>
      <c r="W62" s="1872"/>
      <c r="X62" s="1872"/>
      <c r="Y62" s="1872">
        <f t="shared" si="11"/>
        <v>270000</v>
      </c>
      <c r="Z62" s="1873">
        <v>27625.98</v>
      </c>
      <c r="AA62" s="1872">
        <f t="shared" si="12"/>
        <v>180000</v>
      </c>
    </row>
    <row r="63" spans="1:27" s="1879" customFormat="1" ht="27.75" customHeight="1">
      <c r="A63" s="1886" t="s">
        <v>663</v>
      </c>
      <c r="B63" s="1891" t="s">
        <v>664</v>
      </c>
      <c r="C63" s="1877" t="s">
        <v>662</v>
      </c>
      <c r="D63" s="1878">
        <v>2013</v>
      </c>
      <c r="E63" s="1878">
        <v>2016</v>
      </c>
      <c r="F63" s="1872">
        <v>460400</v>
      </c>
      <c r="G63" s="1872"/>
      <c r="H63" s="1872">
        <v>17500</v>
      </c>
      <c r="I63" s="1872">
        <v>115100</v>
      </c>
      <c r="J63" s="1872">
        <v>115100</v>
      </c>
      <c r="K63" s="1872">
        <v>115100</v>
      </c>
      <c r="L63" s="1872">
        <v>115100</v>
      </c>
      <c r="M63" s="1872">
        <v>0</v>
      </c>
      <c r="N63" s="1872">
        <v>0</v>
      </c>
      <c r="O63" s="1872">
        <v>0</v>
      </c>
      <c r="P63" s="1872">
        <v>0</v>
      </c>
      <c r="Q63" s="1872"/>
      <c r="R63" s="1872"/>
      <c r="S63" s="1872"/>
      <c r="T63" s="1872"/>
      <c r="U63" s="1872"/>
      <c r="V63" s="1872"/>
      <c r="W63" s="1872"/>
      <c r="X63" s="1872"/>
      <c r="Y63" s="1872">
        <f t="shared" si="11"/>
        <v>460400</v>
      </c>
      <c r="Z63" s="1873">
        <v>101397.74</v>
      </c>
      <c r="AA63" s="1872">
        <f t="shared" si="12"/>
        <v>345300</v>
      </c>
    </row>
    <row r="64" spans="1:27" s="1879" customFormat="1" ht="24" customHeight="1">
      <c r="A64" s="1886" t="s">
        <v>665</v>
      </c>
      <c r="B64" s="1891" t="s">
        <v>666</v>
      </c>
      <c r="C64" s="1877" t="s">
        <v>662</v>
      </c>
      <c r="D64" s="1878">
        <v>2013</v>
      </c>
      <c r="E64" s="1878">
        <v>2016</v>
      </c>
      <c r="F64" s="1872">
        <v>93800</v>
      </c>
      <c r="G64" s="1872"/>
      <c r="H64" s="1872">
        <v>17500</v>
      </c>
      <c r="I64" s="1872">
        <v>30000</v>
      </c>
      <c r="J64" s="1872">
        <v>26400</v>
      </c>
      <c r="K64" s="1872">
        <v>26400</v>
      </c>
      <c r="L64" s="1872">
        <v>11000</v>
      </c>
      <c r="M64" s="1872">
        <v>0</v>
      </c>
      <c r="N64" s="1872">
        <v>0</v>
      </c>
      <c r="O64" s="1872">
        <v>0</v>
      </c>
      <c r="P64" s="1872">
        <v>0</v>
      </c>
      <c r="Q64" s="1872"/>
      <c r="R64" s="1872"/>
      <c r="S64" s="1872"/>
      <c r="T64" s="1872"/>
      <c r="U64" s="1872"/>
      <c r="V64" s="1872"/>
      <c r="W64" s="1872"/>
      <c r="X64" s="1872"/>
      <c r="Y64" s="1872">
        <f t="shared" si="11"/>
        <v>93800</v>
      </c>
      <c r="Z64" s="1873">
        <v>22491.06</v>
      </c>
      <c r="AA64" s="1872">
        <f t="shared" si="12"/>
        <v>63800</v>
      </c>
    </row>
    <row r="65" spans="1:27" s="1879" customFormat="1" ht="25.5" customHeight="1">
      <c r="A65" s="1886" t="s">
        <v>667</v>
      </c>
      <c r="B65" s="1891" t="s">
        <v>668</v>
      </c>
      <c r="C65" s="1877" t="s">
        <v>662</v>
      </c>
      <c r="D65" s="1878">
        <v>2012</v>
      </c>
      <c r="E65" s="1878">
        <v>2014</v>
      </c>
      <c r="F65" s="1872">
        <v>61250</v>
      </c>
      <c r="G65" s="1872"/>
      <c r="H65" s="1872">
        <v>21000</v>
      </c>
      <c r="I65" s="1872">
        <v>21000</v>
      </c>
      <c r="J65" s="1872">
        <v>19250</v>
      </c>
      <c r="K65" s="1872">
        <v>0</v>
      </c>
      <c r="L65" s="1872">
        <v>0</v>
      </c>
      <c r="M65" s="1872">
        <v>0</v>
      </c>
      <c r="N65" s="1872">
        <v>0</v>
      </c>
      <c r="O65" s="1872">
        <v>0</v>
      </c>
      <c r="P65" s="1872">
        <v>0</v>
      </c>
      <c r="Q65" s="1872"/>
      <c r="R65" s="1872"/>
      <c r="S65" s="1872"/>
      <c r="T65" s="1872"/>
      <c r="U65" s="1872"/>
      <c r="V65" s="1872"/>
      <c r="W65" s="1872"/>
      <c r="X65" s="1872"/>
      <c r="Y65" s="1872">
        <f t="shared" si="11"/>
        <v>40250</v>
      </c>
      <c r="Z65" s="1873">
        <v>19700.23</v>
      </c>
      <c r="AA65" s="1872">
        <f t="shared" si="12"/>
        <v>19250</v>
      </c>
    </row>
    <row r="66" spans="1:27" s="1879" customFormat="1" ht="27" customHeight="1">
      <c r="A66" s="1886" t="s">
        <v>669</v>
      </c>
      <c r="B66" s="1891" t="s">
        <v>670</v>
      </c>
      <c r="C66" s="1877" t="s">
        <v>662</v>
      </c>
      <c r="D66" s="1878">
        <v>2013</v>
      </c>
      <c r="E66" s="1878">
        <v>2014</v>
      </c>
      <c r="F66" s="1872">
        <v>54000</v>
      </c>
      <c r="G66" s="1872"/>
      <c r="H66" s="1872">
        <v>11250</v>
      </c>
      <c r="I66" s="1872">
        <v>27000</v>
      </c>
      <c r="J66" s="1872">
        <v>27000</v>
      </c>
      <c r="K66" s="1872">
        <v>0</v>
      </c>
      <c r="L66" s="1872">
        <v>0</v>
      </c>
      <c r="M66" s="1872">
        <v>0</v>
      </c>
      <c r="N66" s="1872">
        <v>0</v>
      </c>
      <c r="O66" s="1872">
        <v>0</v>
      </c>
      <c r="P66" s="1872">
        <v>0</v>
      </c>
      <c r="Q66" s="1872"/>
      <c r="R66" s="1872"/>
      <c r="S66" s="1872"/>
      <c r="T66" s="1872"/>
      <c r="U66" s="1872"/>
      <c r="V66" s="1872"/>
      <c r="W66" s="1872"/>
      <c r="X66" s="1872"/>
      <c r="Y66" s="1872">
        <f t="shared" si="11"/>
        <v>54000</v>
      </c>
      <c r="Z66" s="1873">
        <v>21997.69</v>
      </c>
      <c r="AA66" s="1872">
        <f t="shared" si="12"/>
        <v>27000</v>
      </c>
    </row>
    <row r="67" spans="1:27" s="1879" customFormat="1" ht="27.75" customHeight="1">
      <c r="A67" s="1886" t="s">
        <v>671</v>
      </c>
      <c r="B67" s="1891" t="s">
        <v>672</v>
      </c>
      <c r="C67" s="1877" t="s">
        <v>662</v>
      </c>
      <c r="D67" s="1878">
        <v>2013</v>
      </c>
      <c r="E67" s="1878">
        <v>2016</v>
      </c>
      <c r="F67" s="1872">
        <v>916500</v>
      </c>
      <c r="G67" s="1872"/>
      <c r="H67" s="1872">
        <v>235000</v>
      </c>
      <c r="I67" s="1872">
        <v>234000</v>
      </c>
      <c r="J67" s="1872">
        <v>234000</v>
      </c>
      <c r="K67" s="1872">
        <v>234000</v>
      </c>
      <c r="L67" s="1872">
        <v>214500</v>
      </c>
      <c r="M67" s="1872">
        <v>0</v>
      </c>
      <c r="N67" s="1872">
        <v>0</v>
      </c>
      <c r="O67" s="1872">
        <v>0</v>
      </c>
      <c r="P67" s="1872">
        <v>0</v>
      </c>
      <c r="Q67" s="1872"/>
      <c r="R67" s="1872"/>
      <c r="S67" s="1872"/>
      <c r="T67" s="1872"/>
      <c r="U67" s="1872"/>
      <c r="V67" s="1872"/>
      <c r="W67" s="1872"/>
      <c r="X67" s="1872"/>
      <c r="Y67" s="1872">
        <f t="shared" si="11"/>
        <v>916500</v>
      </c>
      <c r="Z67" s="1873">
        <v>198579.53</v>
      </c>
      <c r="AA67" s="1872">
        <f t="shared" si="12"/>
        <v>682500</v>
      </c>
    </row>
    <row r="68" spans="1:27" s="1879" customFormat="1" ht="27.75" customHeight="1">
      <c r="A68" s="1886" t="s">
        <v>673</v>
      </c>
      <c r="B68" s="1891" t="s">
        <v>674</v>
      </c>
      <c r="C68" s="1877" t="s">
        <v>662</v>
      </c>
      <c r="D68" s="1878">
        <v>2013</v>
      </c>
      <c r="E68" s="1878">
        <v>2014</v>
      </c>
      <c r="F68" s="1872">
        <v>22900</v>
      </c>
      <c r="G68" s="1872"/>
      <c r="H68" s="1872">
        <v>12000</v>
      </c>
      <c r="I68" s="1872">
        <v>12100</v>
      </c>
      <c r="J68" s="1872">
        <v>10800</v>
      </c>
      <c r="K68" s="1872">
        <v>0</v>
      </c>
      <c r="L68" s="1872">
        <v>0</v>
      </c>
      <c r="M68" s="1872">
        <v>0</v>
      </c>
      <c r="N68" s="1872">
        <v>0</v>
      </c>
      <c r="O68" s="1872">
        <v>0</v>
      </c>
      <c r="P68" s="1872">
        <v>0</v>
      </c>
      <c r="Q68" s="1872"/>
      <c r="R68" s="1872"/>
      <c r="S68" s="1872"/>
      <c r="T68" s="1872"/>
      <c r="U68" s="1872"/>
      <c r="V68" s="1872"/>
      <c r="W68" s="1872"/>
      <c r="X68" s="1872"/>
      <c r="Y68" s="1872">
        <f t="shared" si="11"/>
        <v>22900</v>
      </c>
      <c r="Z68" s="1873">
        <v>11910.48</v>
      </c>
      <c r="AA68" s="1872">
        <f t="shared" si="12"/>
        <v>10800</v>
      </c>
    </row>
    <row r="69" spans="1:27" s="1879" customFormat="1" ht="30.75" customHeight="1">
      <c r="A69" s="1886" t="s">
        <v>675</v>
      </c>
      <c r="B69" s="1891" t="s">
        <v>676</v>
      </c>
      <c r="C69" s="1877" t="s">
        <v>662</v>
      </c>
      <c r="D69" s="1878">
        <v>2012</v>
      </c>
      <c r="E69" s="1878">
        <v>2015</v>
      </c>
      <c r="F69" s="1872">
        <v>63000</v>
      </c>
      <c r="G69" s="1872"/>
      <c r="H69" s="1872">
        <v>14000</v>
      </c>
      <c r="I69" s="1872">
        <v>21000</v>
      </c>
      <c r="J69" s="1872">
        <v>21000</v>
      </c>
      <c r="K69" s="1872">
        <v>7000</v>
      </c>
      <c r="L69" s="1872">
        <v>0</v>
      </c>
      <c r="M69" s="1872">
        <v>0</v>
      </c>
      <c r="N69" s="1872">
        <v>0</v>
      </c>
      <c r="O69" s="1872">
        <v>0</v>
      </c>
      <c r="P69" s="1872">
        <v>0</v>
      </c>
      <c r="Q69" s="1872"/>
      <c r="R69" s="1872"/>
      <c r="S69" s="1872"/>
      <c r="T69" s="1872"/>
      <c r="U69" s="1872"/>
      <c r="V69" s="1872"/>
      <c r="W69" s="1872"/>
      <c r="X69" s="1872"/>
      <c r="Y69" s="1872">
        <f t="shared" si="11"/>
        <v>49000</v>
      </c>
      <c r="Z69" s="1873">
        <v>20644</v>
      </c>
      <c r="AA69" s="1872">
        <f t="shared" si="12"/>
        <v>28000</v>
      </c>
    </row>
    <row r="70" spans="1:27" s="1879" customFormat="1" ht="36.75" customHeight="1">
      <c r="A70" s="1886" t="s">
        <v>677</v>
      </c>
      <c r="B70" s="1894" t="s">
        <v>678</v>
      </c>
      <c r="C70" s="1877" t="s">
        <v>662</v>
      </c>
      <c r="D70" s="1895">
        <v>2013</v>
      </c>
      <c r="E70" s="1895">
        <v>2014</v>
      </c>
      <c r="F70" s="1872">
        <v>102492</v>
      </c>
      <c r="G70" s="1872"/>
      <c r="H70" s="1872">
        <v>14000</v>
      </c>
      <c r="I70" s="1872">
        <v>51246</v>
      </c>
      <c r="J70" s="1872">
        <v>51246</v>
      </c>
      <c r="K70" s="1872">
        <v>0</v>
      </c>
      <c r="L70" s="1872">
        <v>0</v>
      </c>
      <c r="M70" s="1872">
        <v>0</v>
      </c>
      <c r="N70" s="1872">
        <v>0</v>
      </c>
      <c r="O70" s="1872">
        <v>0</v>
      </c>
      <c r="P70" s="1872">
        <v>0</v>
      </c>
      <c r="Q70" s="1872"/>
      <c r="R70" s="1872"/>
      <c r="S70" s="1872"/>
      <c r="T70" s="1872"/>
      <c r="U70" s="1872"/>
      <c r="V70" s="1872"/>
      <c r="W70" s="1872"/>
      <c r="X70" s="1872"/>
      <c r="Y70" s="1872">
        <f t="shared" si="11"/>
        <v>102492</v>
      </c>
      <c r="Z70" s="1873">
        <v>51246</v>
      </c>
      <c r="AA70" s="1872">
        <f t="shared" si="12"/>
        <v>51246</v>
      </c>
    </row>
    <row r="71" spans="1:27" s="1879" customFormat="1" ht="26.25" customHeight="1">
      <c r="A71" s="1886" t="s">
        <v>679</v>
      </c>
      <c r="B71" s="1891" t="s">
        <v>680</v>
      </c>
      <c r="C71" s="1877" t="s">
        <v>681</v>
      </c>
      <c r="D71" s="1878">
        <v>2012</v>
      </c>
      <c r="E71" s="1878">
        <v>2015</v>
      </c>
      <c r="F71" s="1872">
        <v>16200</v>
      </c>
      <c r="G71" s="1872"/>
      <c r="H71" s="1872">
        <v>14000</v>
      </c>
      <c r="I71" s="1872">
        <v>5400</v>
      </c>
      <c r="J71" s="1872">
        <v>5400</v>
      </c>
      <c r="K71" s="1872">
        <v>4950</v>
      </c>
      <c r="L71" s="1872">
        <v>0</v>
      </c>
      <c r="M71" s="1872">
        <v>0</v>
      </c>
      <c r="N71" s="1872">
        <v>0</v>
      </c>
      <c r="O71" s="1872">
        <v>0</v>
      </c>
      <c r="P71" s="1872">
        <v>0</v>
      </c>
      <c r="Q71" s="1872"/>
      <c r="R71" s="1872"/>
      <c r="S71" s="1872"/>
      <c r="T71" s="1872"/>
      <c r="U71" s="1872"/>
      <c r="V71" s="1872"/>
      <c r="W71" s="1872"/>
      <c r="X71" s="1872"/>
      <c r="Y71" s="1872">
        <f t="shared" si="11"/>
        <v>15750</v>
      </c>
      <c r="Z71" s="1873">
        <v>5400</v>
      </c>
      <c r="AA71" s="1872">
        <f t="shared" si="12"/>
        <v>10350</v>
      </c>
    </row>
    <row r="72" spans="1:27" s="1879" customFormat="1" ht="36.75" customHeight="1">
      <c r="A72" s="1886" t="s">
        <v>682</v>
      </c>
      <c r="B72" s="1891" t="s">
        <v>683</v>
      </c>
      <c r="C72" s="1877" t="s">
        <v>684</v>
      </c>
      <c r="D72" s="1878">
        <v>2013</v>
      </c>
      <c r="E72" s="1878">
        <v>2015</v>
      </c>
      <c r="F72" s="1872">
        <v>60000</v>
      </c>
      <c r="G72" s="1872"/>
      <c r="H72" s="1872">
        <v>120000</v>
      </c>
      <c r="I72" s="1872">
        <v>20000</v>
      </c>
      <c r="J72" s="1872">
        <v>20000</v>
      </c>
      <c r="K72" s="1872">
        <v>20000</v>
      </c>
      <c r="L72" s="1872">
        <v>0</v>
      </c>
      <c r="M72" s="1872">
        <v>0</v>
      </c>
      <c r="N72" s="1872">
        <v>0</v>
      </c>
      <c r="O72" s="1872">
        <v>0</v>
      </c>
      <c r="P72" s="1872">
        <v>0</v>
      </c>
      <c r="Q72" s="1872"/>
      <c r="R72" s="1872"/>
      <c r="S72" s="1872"/>
      <c r="T72" s="1872"/>
      <c r="U72" s="1872"/>
      <c r="V72" s="1872"/>
      <c r="W72" s="1872"/>
      <c r="X72" s="1872"/>
      <c r="Y72" s="1872">
        <f t="shared" si="11"/>
        <v>60000</v>
      </c>
      <c r="Z72" s="1873">
        <v>19560</v>
      </c>
      <c r="AA72" s="1872">
        <f t="shared" si="12"/>
        <v>40000</v>
      </c>
    </row>
    <row r="73" spans="1:27" s="1879" customFormat="1" ht="36.75" customHeight="1">
      <c r="A73" s="1886" t="s">
        <v>685</v>
      </c>
      <c r="B73" s="1891" t="s">
        <v>686</v>
      </c>
      <c r="C73" s="1877" t="s">
        <v>687</v>
      </c>
      <c r="D73" s="1878">
        <v>2012</v>
      </c>
      <c r="E73" s="1878">
        <v>2023</v>
      </c>
      <c r="F73" s="1872">
        <v>1440000</v>
      </c>
      <c r="G73" s="1872"/>
      <c r="H73" s="1872">
        <v>120000</v>
      </c>
      <c r="I73" s="1872">
        <v>120000</v>
      </c>
      <c r="J73" s="1872">
        <v>120000</v>
      </c>
      <c r="K73" s="1872">
        <v>120000</v>
      </c>
      <c r="L73" s="1872">
        <v>120000</v>
      </c>
      <c r="M73" s="1872">
        <v>120000</v>
      </c>
      <c r="N73" s="1872">
        <v>120000</v>
      </c>
      <c r="O73" s="1872">
        <v>120000</v>
      </c>
      <c r="P73" s="1872">
        <v>120000</v>
      </c>
      <c r="Q73" s="1872"/>
      <c r="R73" s="1872"/>
      <c r="S73" s="1872"/>
      <c r="T73" s="1872"/>
      <c r="U73" s="1872"/>
      <c r="V73" s="1872"/>
      <c r="W73" s="1872"/>
      <c r="X73" s="1872"/>
      <c r="Y73" s="1872">
        <f t="shared" si="11"/>
        <v>960000</v>
      </c>
      <c r="Z73" s="1873">
        <v>117360</v>
      </c>
      <c r="AA73" s="1872">
        <f t="shared" si="12"/>
        <v>840000</v>
      </c>
    </row>
    <row r="74" spans="1:27" s="1879" customFormat="1" ht="36.75" customHeight="1">
      <c r="A74" s="1886" t="s">
        <v>688</v>
      </c>
      <c r="B74" s="1876" t="s">
        <v>689</v>
      </c>
      <c r="C74" s="1877" t="s">
        <v>1318</v>
      </c>
      <c r="D74" s="1878">
        <v>2009</v>
      </c>
      <c r="E74" s="1878">
        <v>2017</v>
      </c>
      <c r="F74" s="1872">
        <v>1500000</v>
      </c>
      <c r="G74" s="1872"/>
      <c r="H74" s="1872"/>
      <c r="I74" s="1872">
        <v>196000</v>
      </c>
      <c r="J74" s="1872">
        <v>196000</v>
      </c>
      <c r="K74" s="1872">
        <v>196000</v>
      </c>
      <c r="L74" s="1872">
        <v>196000</v>
      </c>
      <c r="M74" s="1872">
        <v>196000</v>
      </c>
      <c r="N74" s="1872">
        <v>0</v>
      </c>
      <c r="O74" s="1872">
        <v>0</v>
      </c>
      <c r="P74" s="1872">
        <v>0</v>
      </c>
      <c r="Q74" s="1872"/>
      <c r="R74" s="1872"/>
      <c r="S74" s="1872"/>
      <c r="T74" s="1872"/>
      <c r="U74" s="1872"/>
      <c r="V74" s="1872"/>
      <c r="W74" s="1872"/>
      <c r="X74" s="1872"/>
      <c r="Y74" s="1872">
        <f t="shared" si="11"/>
        <v>980000</v>
      </c>
      <c r="Z74" s="1873">
        <v>146605.7</v>
      </c>
      <c r="AA74" s="1872">
        <f t="shared" si="12"/>
        <v>784000</v>
      </c>
    </row>
    <row r="75" spans="1:27" s="1879" customFormat="1" ht="29.25" customHeight="1">
      <c r="A75" s="1886" t="s">
        <v>690</v>
      </c>
      <c r="B75" s="1891" t="s">
        <v>691</v>
      </c>
      <c r="C75" s="1877" t="s">
        <v>652</v>
      </c>
      <c r="D75" s="1878">
        <v>1994</v>
      </c>
      <c r="E75" s="1878">
        <v>2017</v>
      </c>
      <c r="F75" s="1872">
        <v>23672000</v>
      </c>
      <c r="G75" s="1872"/>
      <c r="H75" s="1872">
        <v>340000</v>
      </c>
      <c r="I75" s="1872">
        <v>330000</v>
      </c>
      <c r="J75" s="1872">
        <v>290000</v>
      </c>
      <c r="K75" s="1872">
        <v>260000</v>
      </c>
      <c r="L75" s="1872">
        <v>230000</v>
      </c>
      <c r="M75" s="1872">
        <v>200000</v>
      </c>
      <c r="N75" s="1872">
        <v>0</v>
      </c>
      <c r="O75" s="1872">
        <v>0</v>
      </c>
      <c r="P75" s="1872">
        <v>0</v>
      </c>
      <c r="Q75" s="1872"/>
      <c r="R75" s="1872"/>
      <c r="S75" s="1872"/>
      <c r="T75" s="1872"/>
      <c r="U75" s="1872"/>
      <c r="V75" s="1872"/>
      <c r="W75" s="1872"/>
      <c r="X75" s="1872"/>
      <c r="Y75" s="1872">
        <f t="shared" si="11"/>
        <v>1310000</v>
      </c>
      <c r="Z75" s="1873">
        <v>192185.24</v>
      </c>
      <c r="AA75" s="1872">
        <f t="shared" si="12"/>
        <v>980000</v>
      </c>
    </row>
    <row r="76" spans="1:27" s="1879" customFormat="1" ht="28.5" customHeight="1">
      <c r="A76" s="1886" t="s">
        <v>692</v>
      </c>
      <c r="B76" s="1891" t="s">
        <v>693</v>
      </c>
      <c r="C76" s="1877" t="s">
        <v>652</v>
      </c>
      <c r="D76" s="1878">
        <v>2010</v>
      </c>
      <c r="E76" s="1878">
        <v>2019</v>
      </c>
      <c r="F76" s="1872">
        <v>14148526</v>
      </c>
      <c r="G76" s="1872"/>
      <c r="H76" s="1872">
        <v>2270000</v>
      </c>
      <c r="I76" s="1872">
        <v>2200000</v>
      </c>
      <c r="J76" s="1872">
        <v>1600000</v>
      </c>
      <c r="K76" s="1872">
        <v>1400000</v>
      </c>
      <c r="L76" s="1872">
        <v>1200000</v>
      </c>
      <c r="M76" s="1872">
        <v>1000000</v>
      </c>
      <c r="N76" s="1872">
        <v>800000</v>
      </c>
      <c r="O76" s="1872">
        <v>400000</v>
      </c>
      <c r="P76" s="1872">
        <v>0</v>
      </c>
      <c r="Q76" s="1872"/>
      <c r="R76" s="1872"/>
      <c r="S76" s="1872"/>
      <c r="T76" s="1872"/>
      <c r="U76" s="1872"/>
      <c r="V76" s="1872"/>
      <c r="W76" s="1872"/>
      <c r="X76" s="1872"/>
      <c r="Y76" s="1872">
        <f t="shared" si="11"/>
        <v>8600000</v>
      </c>
      <c r="Z76" s="1873">
        <v>1780041.65</v>
      </c>
      <c r="AA76" s="1872">
        <f t="shared" si="12"/>
        <v>6400000</v>
      </c>
    </row>
    <row r="77" spans="1:27" s="1879" customFormat="1" ht="27.75" customHeight="1">
      <c r="A77" s="1886" t="s">
        <v>694</v>
      </c>
      <c r="B77" s="1891" t="s">
        <v>695</v>
      </c>
      <c r="C77" s="1877" t="s">
        <v>652</v>
      </c>
      <c r="D77" s="1878">
        <v>2011</v>
      </c>
      <c r="E77" s="1878">
        <v>2018</v>
      </c>
      <c r="F77" s="1872">
        <v>5560000</v>
      </c>
      <c r="G77" s="1872"/>
      <c r="H77" s="1872">
        <v>950000</v>
      </c>
      <c r="I77" s="1872">
        <v>1000000</v>
      </c>
      <c r="J77" s="1872">
        <v>1000000</v>
      </c>
      <c r="K77" s="1872">
        <v>1000000</v>
      </c>
      <c r="L77" s="1872">
        <v>760000</v>
      </c>
      <c r="M77" s="1872">
        <v>500000</v>
      </c>
      <c r="N77" s="1872">
        <v>250000</v>
      </c>
      <c r="O77" s="1872">
        <v>0</v>
      </c>
      <c r="P77" s="1872">
        <v>0</v>
      </c>
      <c r="Q77" s="1872"/>
      <c r="R77" s="1872"/>
      <c r="S77" s="1872"/>
      <c r="T77" s="1872"/>
      <c r="U77" s="1872"/>
      <c r="V77" s="1872"/>
      <c r="W77" s="1872"/>
      <c r="X77" s="1872"/>
      <c r="Y77" s="1872">
        <f t="shared" si="11"/>
        <v>4510000</v>
      </c>
      <c r="Z77" s="1873">
        <v>678490.8</v>
      </c>
      <c r="AA77" s="1872">
        <f t="shared" si="12"/>
        <v>3510000</v>
      </c>
    </row>
    <row r="78" spans="1:27" s="1879" customFormat="1" ht="25.5" customHeight="1">
      <c r="A78" s="1886" t="s">
        <v>696</v>
      </c>
      <c r="B78" s="1891" t="s">
        <v>697</v>
      </c>
      <c r="C78" s="1877" t="s">
        <v>652</v>
      </c>
      <c r="D78" s="1878">
        <v>2013</v>
      </c>
      <c r="E78" s="1878">
        <v>2019</v>
      </c>
      <c r="F78" s="1872">
        <v>7450000</v>
      </c>
      <c r="G78" s="1872"/>
      <c r="H78" s="1872">
        <v>0</v>
      </c>
      <c r="I78" s="1872">
        <v>1570000</v>
      </c>
      <c r="J78" s="1872">
        <v>1560000</v>
      </c>
      <c r="K78" s="1872">
        <v>1560000</v>
      </c>
      <c r="L78" s="1872">
        <v>960000</v>
      </c>
      <c r="M78" s="1872">
        <v>900000</v>
      </c>
      <c r="N78" s="1872">
        <v>840000</v>
      </c>
      <c r="O78" s="1872">
        <v>60000</v>
      </c>
      <c r="P78" s="1872">
        <v>0</v>
      </c>
      <c r="Q78" s="1872"/>
      <c r="R78" s="1872"/>
      <c r="S78" s="1872"/>
      <c r="T78" s="1872"/>
      <c r="U78" s="1872"/>
      <c r="V78" s="1872"/>
      <c r="W78" s="1872"/>
      <c r="X78" s="1872"/>
      <c r="Y78" s="1872">
        <f t="shared" si="11"/>
        <v>7450000</v>
      </c>
      <c r="Z78" s="1873">
        <v>1156023.8</v>
      </c>
      <c r="AA78" s="1872">
        <f t="shared" si="12"/>
        <v>5880000</v>
      </c>
    </row>
    <row r="79" spans="1:27" s="1879" customFormat="1" ht="25.5" customHeight="1">
      <c r="A79" s="1886" t="s">
        <v>698</v>
      </c>
      <c r="B79" s="1891" t="s">
        <v>699</v>
      </c>
      <c r="C79" s="1877" t="s">
        <v>652</v>
      </c>
      <c r="D79" s="1878">
        <v>2013</v>
      </c>
      <c r="E79" s="1878">
        <v>2020</v>
      </c>
      <c r="F79" s="1872">
        <v>10790000</v>
      </c>
      <c r="G79" s="1872"/>
      <c r="H79" s="1872">
        <v>0</v>
      </c>
      <c r="I79" s="1872">
        <v>1625000</v>
      </c>
      <c r="J79" s="1872">
        <v>1625000</v>
      </c>
      <c r="K79" s="1872">
        <v>1625000</v>
      </c>
      <c r="L79" s="1872">
        <v>1625000</v>
      </c>
      <c r="M79" s="1872">
        <v>1430000</v>
      </c>
      <c r="N79" s="1872">
        <v>1235000</v>
      </c>
      <c r="O79" s="1872">
        <v>975000</v>
      </c>
      <c r="P79" s="1872">
        <v>650000</v>
      </c>
      <c r="Q79" s="1872"/>
      <c r="R79" s="1872"/>
      <c r="S79" s="1872"/>
      <c r="T79" s="1872"/>
      <c r="U79" s="1872"/>
      <c r="V79" s="1872"/>
      <c r="W79" s="1872"/>
      <c r="X79" s="1872"/>
      <c r="Y79" s="1872">
        <f t="shared" si="11"/>
        <v>10790000</v>
      </c>
      <c r="Z79" s="1873">
        <v>1153397.9</v>
      </c>
      <c r="AA79" s="1872">
        <f t="shared" si="12"/>
        <v>9165000</v>
      </c>
    </row>
    <row r="80" spans="1:27" s="1879" customFormat="1" ht="27.75" customHeight="1">
      <c r="A80" s="1886" t="s">
        <v>700</v>
      </c>
      <c r="B80" s="1891" t="s">
        <v>701</v>
      </c>
      <c r="C80" s="1877" t="s">
        <v>652</v>
      </c>
      <c r="D80" s="1878">
        <v>2013</v>
      </c>
      <c r="E80" s="1878">
        <v>2020</v>
      </c>
      <c r="F80" s="1872">
        <v>262814</v>
      </c>
      <c r="G80" s="1872"/>
      <c r="H80" s="1872">
        <v>0</v>
      </c>
      <c r="I80" s="1872">
        <v>22400</v>
      </c>
      <c r="J80" s="1872">
        <v>62768</v>
      </c>
      <c r="K80" s="1872">
        <v>53294</v>
      </c>
      <c r="L80" s="1872">
        <v>43819</v>
      </c>
      <c r="M80" s="1872">
        <v>34345</v>
      </c>
      <c r="N80" s="1872">
        <v>24870</v>
      </c>
      <c r="O80" s="1872">
        <v>15396</v>
      </c>
      <c r="P80" s="1872">
        <v>5922</v>
      </c>
      <c r="Q80" s="1872"/>
      <c r="R80" s="1872"/>
      <c r="S80" s="1872"/>
      <c r="T80" s="1872"/>
      <c r="U80" s="1872"/>
      <c r="V80" s="1872"/>
      <c r="W80" s="1872"/>
      <c r="X80" s="1872"/>
      <c r="Y80" s="1872">
        <f t="shared" si="11"/>
        <v>262814</v>
      </c>
      <c r="Z80" s="1873">
        <v>2527.66</v>
      </c>
      <c r="AA80" s="1872">
        <f t="shared" si="12"/>
        <v>240414</v>
      </c>
    </row>
    <row r="81" spans="1:27" s="1879" customFormat="1" ht="48.75" customHeight="1">
      <c r="A81" s="1886" t="s">
        <v>702</v>
      </c>
      <c r="B81" s="1896" t="s">
        <v>703</v>
      </c>
      <c r="C81" s="1877" t="s">
        <v>170</v>
      </c>
      <c r="D81" s="1878">
        <v>2013</v>
      </c>
      <c r="E81" s="1878">
        <v>2014</v>
      </c>
      <c r="F81" s="1872">
        <v>99020</v>
      </c>
      <c r="G81" s="1872"/>
      <c r="H81" s="1872">
        <v>15170</v>
      </c>
      <c r="I81" s="1872">
        <v>35500</v>
      </c>
      <c r="J81" s="1872">
        <v>63520</v>
      </c>
      <c r="K81" s="1872">
        <v>0</v>
      </c>
      <c r="L81" s="1872">
        <v>0</v>
      </c>
      <c r="M81" s="1872">
        <v>0</v>
      </c>
      <c r="N81" s="1872">
        <v>0</v>
      </c>
      <c r="O81" s="1872">
        <v>0</v>
      </c>
      <c r="P81" s="1872">
        <v>0</v>
      </c>
      <c r="Q81" s="1872"/>
      <c r="R81" s="1872"/>
      <c r="S81" s="1872"/>
      <c r="T81" s="1872"/>
      <c r="U81" s="1872"/>
      <c r="V81" s="1872"/>
      <c r="W81" s="1872"/>
      <c r="X81" s="1872"/>
      <c r="Y81" s="1872">
        <f t="shared" si="11"/>
        <v>99020</v>
      </c>
      <c r="Z81" s="1873">
        <v>34299.88</v>
      </c>
      <c r="AA81" s="1872">
        <f t="shared" si="12"/>
        <v>63520</v>
      </c>
    </row>
    <row r="82" spans="1:27" s="1879" customFormat="1" ht="52.5" customHeight="1">
      <c r="A82" s="1886" t="s">
        <v>704</v>
      </c>
      <c r="B82" s="1896" t="s">
        <v>705</v>
      </c>
      <c r="C82" s="1877" t="s">
        <v>170</v>
      </c>
      <c r="D82" s="1878">
        <v>2013</v>
      </c>
      <c r="E82" s="1878">
        <v>2014</v>
      </c>
      <c r="F82" s="1872">
        <v>68800</v>
      </c>
      <c r="G82" s="1872"/>
      <c r="H82" s="1872">
        <v>15170</v>
      </c>
      <c r="I82" s="1872">
        <v>44460</v>
      </c>
      <c r="J82" s="1872">
        <v>24340</v>
      </c>
      <c r="K82" s="1872">
        <v>0</v>
      </c>
      <c r="L82" s="1872">
        <v>0</v>
      </c>
      <c r="M82" s="1872">
        <v>0</v>
      </c>
      <c r="N82" s="1872">
        <v>0</v>
      </c>
      <c r="O82" s="1872">
        <v>0</v>
      </c>
      <c r="P82" s="1872">
        <v>0</v>
      </c>
      <c r="Q82" s="1872"/>
      <c r="R82" s="1872"/>
      <c r="S82" s="1872"/>
      <c r="T82" s="1872"/>
      <c r="U82" s="1872"/>
      <c r="V82" s="1872"/>
      <c r="W82" s="1872"/>
      <c r="X82" s="1872"/>
      <c r="Y82" s="1872">
        <f t="shared" si="11"/>
        <v>68800</v>
      </c>
      <c r="Z82" s="1873">
        <v>7722</v>
      </c>
      <c r="AA82" s="1872">
        <f t="shared" si="12"/>
        <v>24340</v>
      </c>
    </row>
    <row r="83" spans="1:27" s="1879" customFormat="1" ht="50.25" customHeight="1">
      <c r="A83" s="1886" t="s">
        <v>706</v>
      </c>
      <c r="B83" s="1896" t="s">
        <v>1463</v>
      </c>
      <c r="C83" s="1877" t="s">
        <v>170</v>
      </c>
      <c r="D83" s="1878">
        <v>2013</v>
      </c>
      <c r="E83" s="1878">
        <v>2016</v>
      </c>
      <c r="F83" s="1872">
        <v>139520</v>
      </c>
      <c r="G83" s="1872"/>
      <c r="H83" s="1872">
        <v>15170</v>
      </c>
      <c r="I83" s="1872">
        <v>39520</v>
      </c>
      <c r="J83" s="1872">
        <v>40000</v>
      </c>
      <c r="K83" s="1872">
        <v>40000</v>
      </c>
      <c r="L83" s="1872">
        <v>20000</v>
      </c>
      <c r="M83" s="1872">
        <v>0</v>
      </c>
      <c r="N83" s="1872">
        <v>0</v>
      </c>
      <c r="O83" s="1872">
        <v>0</v>
      </c>
      <c r="P83" s="1872">
        <v>0</v>
      </c>
      <c r="Q83" s="1872"/>
      <c r="R83" s="1872"/>
      <c r="S83" s="1872"/>
      <c r="T83" s="1872"/>
      <c r="U83" s="1872"/>
      <c r="V83" s="1872"/>
      <c r="W83" s="1872"/>
      <c r="X83" s="1872"/>
      <c r="Y83" s="1872">
        <f t="shared" si="11"/>
        <v>139520</v>
      </c>
      <c r="Z83" s="1873">
        <v>7696</v>
      </c>
      <c r="AA83" s="1872">
        <f t="shared" si="12"/>
        <v>100000</v>
      </c>
    </row>
    <row r="84" spans="1:27" s="1879" customFormat="1" ht="50.25" customHeight="1">
      <c r="A84" s="1886" t="s">
        <v>1464</v>
      </c>
      <c r="B84" s="1896" t="s">
        <v>1465</v>
      </c>
      <c r="C84" s="1877" t="s">
        <v>170</v>
      </c>
      <c r="D84" s="1878">
        <v>2013</v>
      </c>
      <c r="E84" s="1878">
        <v>2014</v>
      </c>
      <c r="F84" s="1872">
        <v>62520</v>
      </c>
      <c r="G84" s="1872"/>
      <c r="H84" s="1872">
        <v>15170</v>
      </c>
      <c r="I84" s="1872">
        <v>39520</v>
      </c>
      <c r="J84" s="1872">
        <v>23000</v>
      </c>
      <c r="K84" s="1872">
        <v>0</v>
      </c>
      <c r="L84" s="1872">
        <v>0</v>
      </c>
      <c r="M84" s="1872">
        <v>0</v>
      </c>
      <c r="N84" s="1872">
        <v>0</v>
      </c>
      <c r="O84" s="1872">
        <v>0</v>
      </c>
      <c r="P84" s="1872">
        <v>0</v>
      </c>
      <c r="Q84" s="1872"/>
      <c r="R84" s="1872"/>
      <c r="S84" s="1872"/>
      <c r="T84" s="1872"/>
      <c r="U84" s="1872"/>
      <c r="V84" s="1872"/>
      <c r="W84" s="1872"/>
      <c r="X84" s="1872"/>
      <c r="Y84" s="1872">
        <f t="shared" si="11"/>
        <v>62520</v>
      </c>
      <c r="Z84" s="1873">
        <v>1853</v>
      </c>
      <c r="AA84" s="1872">
        <f t="shared" si="12"/>
        <v>23000</v>
      </c>
    </row>
    <row r="85" spans="1:27" s="1879" customFormat="1" ht="50.25" customHeight="1">
      <c r="A85" s="1886" t="s">
        <v>1466</v>
      </c>
      <c r="B85" s="1897" t="s">
        <v>1467</v>
      </c>
      <c r="C85" s="1877" t="s">
        <v>1468</v>
      </c>
      <c r="D85" s="1878">
        <v>2013</v>
      </c>
      <c r="E85" s="1878">
        <v>2022</v>
      </c>
      <c r="F85" s="1872">
        <v>3820668</v>
      </c>
      <c r="G85" s="1872"/>
      <c r="H85" s="1872"/>
      <c r="I85" s="1872">
        <v>44303</v>
      </c>
      <c r="J85" s="1872">
        <v>523445</v>
      </c>
      <c r="K85" s="1872">
        <v>504266</v>
      </c>
      <c r="L85" s="1872">
        <v>485410</v>
      </c>
      <c r="M85" s="1872">
        <v>465906</v>
      </c>
      <c r="N85" s="1872">
        <v>446727</v>
      </c>
      <c r="O85" s="1872">
        <v>427547</v>
      </c>
      <c r="P85" s="1872">
        <v>408481</v>
      </c>
      <c r="Q85" s="1872">
        <v>389188</v>
      </c>
      <c r="R85" s="1872">
        <v>125395</v>
      </c>
      <c r="S85" s="1872"/>
      <c r="T85" s="1872"/>
      <c r="U85" s="1872"/>
      <c r="V85" s="1872"/>
      <c r="W85" s="1872"/>
      <c r="X85" s="1872"/>
      <c r="Y85" s="1872">
        <f>SUM(I85:R85)</f>
        <v>3820668</v>
      </c>
      <c r="Z85" s="1873">
        <v>39021.43</v>
      </c>
      <c r="AA85" s="1872">
        <f t="shared" si="12"/>
        <v>3776365</v>
      </c>
    </row>
    <row r="86" spans="1:27" s="1879" customFormat="1" ht="50.25" customHeight="1">
      <c r="A86" s="1886" t="s">
        <v>1469</v>
      </c>
      <c r="B86" s="1897" t="s">
        <v>1470</v>
      </c>
      <c r="C86" s="1877" t="s">
        <v>1468</v>
      </c>
      <c r="D86" s="1878">
        <v>2013</v>
      </c>
      <c r="E86" s="1878">
        <v>2028</v>
      </c>
      <c r="F86" s="1872">
        <v>4056933</v>
      </c>
      <c r="G86" s="1872"/>
      <c r="H86" s="1872"/>
      <c r="I86" s="1872">
        <v>31697</v>
      </c>
      <c r="J86" s="1872">
        <v>369447</v>
      </c>
      <c r="K86" s="1872">
        <v>354869</v>
      </c>
      <c r="L86" s="1872">
        <v>340807</v>
      </c>
      <c r="M86" s="1872">
        <v>325713</v>
      </c>
      <c r="N86" s="1872">
        <v>311135</v>
      </c>
      <c r="O86" s="1872">
        <v>296557</v>
      </c>
      <c r="P86" s="1872">
        <v>282335</v>
      </c>
      <c r="Q86" s="1872">
        <v>267400</v>
      </c>
      <c r="R86" s="1872">
        <v>252822</v>
      </c>
      <c r="S86" s="1872">
        <v>238244</v>
      </c>
      <c r="T86" s="1872">
        <v>223862</v>
      </c>
      <c r="U86" s="1872">
        <v>209088</v>
      </c>
      <c r="V86" s="1872">
        <v>194510</v>
      </c>
      <c r="W86" s="1872">
        <f>178515+1417</f>
        <v>179932</v>
      </c>
      <c r="X86" s="1872">
        <f>178515</f>
        <v>178515</v>
      </c>
      <c r="Y86" s="1872">
        <f>SUM(I86:X86)</f>
        <v>4056933</v>
      </c>
      <c r="Z86" s="1873">
        <v>23703.14</v>
      </c>
      <c r="AA86" s="1872">
        <f t="shared" si="12"/>
        <v>4025236</v>
      </c>
    </row>
    <row r="87" spans="1:27" s="1879" customFormat="1" ht="50.25" customHeight="1">
      <c r="A87" s="1886" t="s">
        <v>1471</v>
      </c>
      <c r="B87" s="1897" t="s">
        <v>1472</v>
      </c>
      <c r="C87" s="1877" t="s">
        <v>1468</v>
      </c>
      <c r="D87" s="1878">
        <v>2013</v>
      </c>
      <c r="E87" s="1878">
        <v>2020</v>
      </c>
      <c r="F87" s="1872">
        <v>1945386</v>
      </c>
      <c r="G87" s="1872"/>
      <c r="H87" s="1872"/>
      <c r="I87" s="1872">
        <v>21785</v>
      </c>
      <c r="J87" s="1872">
        <v>354767</v>
      </c>
      <c r="K87" s="1872">
        <v>334453</v>
      </c>
      <c r="L87" s="1872">
        <v>314379</v>
      </c>
      <c r="M87" s="1872">
        <v>293823</v>
      </c>
      <c r="N87" s="1872">
        <v>273508</v>
      </c>
      <c r="O87" s="1872">
        <v>253194</v>
      </c>
      <c r="P87" s="1872">
        <v>99477</v>
      </c>
      <c r="Q87" s="1872"/>
      <c r="R87" s="1872"/>
      <c r="S87" s="1872"/>
      <c r="T87" s="1872"/>
      <c r="U87" s="1872"/>
      <c r="V87" s="1872"/>
      <c r="W87" s="1872"/>
      <c r="X87" s="1872"/>
      <c r="Y87" s="1872">
        <f>SUM(I87:P87)</f>
        <v>1945386</v>
      </c>
      <c r="Z87" s="1873">
        <v>0</v>
      </c>
      <c r="AA87" s="1872">
        <f t="shared" si="12"/>
        <v>1923601</v>
      </c>
    </row>
    <row r="88" spans="1:27" s="1879" customFormat="1" ht="50.25" customHeight="1">
      <c r="A88" s="1886" t="s">
        <v>1473</v>
      </c>
      <c r="B88" s="1897" t="s">
        <v>1474</v>
      </c>
      <c r="C88" s="1877" t="s">
        <v>1468</v>
      </c>
      <c r="D88" s="1878">
        <v>2013</v>
      </c>
      <c r="E88" s="1878">
        <v>2015</v>
      </c>
      <c r="F88" s="1872">
        <v>961286</v>
      </c>
      <c r="G88" s="1872"/>
      <c r="H88" s="1872"/>
      <c r="I88" s="1872">
        <v>85549</v>
      </c>
      <c r="J88" s="1872">
        <v>484143</v>
      </c>
      <c r="K88" s="1872">
        <v>391594</v>
      </c>
      <c r="L88" s="1872"/>
      <c r="M88" s="1872"/>
      <c r="N88" s="1872"/>
      <c r="O88" s="1872"/>
      <c r="P88" s="1872"/>
      <c r="Q88" s="1872"/>
      <c r="R88" s="1872"/>
      <c r="S88" s="1872"/>
      <c r="T88" s="1872"/>
      <c r="U88" s="1872"/>
      <c r="V88" s="1872"/>
      <c r="W88" s="1872"/>
      <c r="X88" s="1872"/>
      <c r="Y88" s="1872"/>
      <c r="Z88" s="1898">
        <v>85549.47</v>
      </c>
      <c r="AA88" s="1872">
        <f t="shared" si="12"/>
        <v>875737</v>
      </c>
    </row>
    <row r="89" spans="1:27" s="1879" customFormat="1" ht="39.75" customHeight="1">
      <c r="A89" s="1886" t="s">
        <v>1475</v>
      </c>
      <c r="B89" s="1891" t="s">
        <v>1476</v>
      </c>
      <c r="C89" s="1877" t="s">
        <v>170</v>
      </c>
      <c r="D89" s="1878">
        <v>2013</v>
      </c>
      <c r="E89" s="1878">
        <v>2015</v>
      </c>
      <c r="F89" s="1872">
        <v>132000</v>
      </c>
      <c r="G89" s="1872"/>
      <c r="H89" s="1872">
        <v>15170</v>
      </c>
      <c r="I89" s="1872">
        <v>44000</v>
      </c>
      <c r="J89" s="1872">
        <v>44000</v>
      </c>
      <c r="K89" s="1872">
        <v>44000</v>
      </c>
      <c r="L89" s="1872">
        <v>0</v>
      </c>
      <c r="M89" s="1872">
        <v>0</v>
      </c>
      <c r="N89" s="1872">
        <v>0</v>
      </c>
      <c r="O89" s="1872">
        <v>0</v>
      </c>
      <c r="P89" s="1872">
        <v>0</v>
      </c>
      <c r="Q89" s="1872"/>
      <c r="R89" s="1872"/>
      <c r="S89" s="1872"/>
      <c r="T89" s="1872"/>
      <c r="U89" s="1872"/>
      <c r="V89" s="1872"/>
      <c r="W89" s="1872"/>
      <c r="X89" s="1872"/>
      <c r="Y89" s="1872">
        <f aca="true" t="shared" si="13" ref="Y89:Y113">SUM(I89:P89)</f>
        <v>132000</v>
      </c>
      <c r="Z89" s="1873">
        <v>36039</v>
      </c>
      <c r="AA89" s="1872">
        <f t="shared" si="12"/>
        <v>88000</v>
      </c>
    </row>
    <row r="90" spans="1:27" s="1879" customFormat="1" ht="49.5" customHeight="1">
      <c r="A90" s="1886" t="s">
        <v>1477</v>
      </c>
      <c r="B90" s="1891" t="s">
        <v>1478</v>
      </c>
      <c r="C90" s="1877" t="s">
        <v>170</v>
      </c>
      <c r="D90" s="1878">
        <v>2013</v>
      </c>
      <c r="E90" s="1878">
        <v>2014</v>
      </c>
      <c r="F90" s="1872">
        <v>14000</v>
      </c>
      <c r="G90" s="1872"/>
      <c r="H90" s="1872">
        <v>15170</v>
      </c>
      <c r="I90" s="1872">
        <v>7000</v>
      </c>
      <c r="J90" s="1872">
        <v>7000</v>
      </c>
      <c r="K90" s="1872">
        <v>0</v>
      </c>
      <c r="L90" s="1872">
        <v>0</v>
      </c>
      <c r="M90" s="1872">
        <v>0</v>
      </c>
      <c r="N90" s="1872">
        <v>0</v>
      </c>
      <c r="O90" s="1872">
        <v>0</v>
      </c>
      <c r="P90" s="1872">
        <v>0</v>
      </c>
      <c r="Q90" s="1872"/>
      <c r="R90" s="1872"/>
      <c r="S90" s="1872"/>
      <c r="T90" s="1872"/>
      <c r="U90" s="1872"/>
      <c r="V90" s="1872"/>
      <c r="W90" s="1872"/>
      <c r="X90" s="1872"/>
      <c r="Y90" s="1872">
        <f t="shared" si="13"/>
        <v>14000</v>
      </c>
      <c r="Z90" s="1873">
        <v>7000</v>
      </c>
      <c r="AA90" s="1872">
        <f t="shared" si="12"/>
        <v>7000</v>
      </c>
    </row>
    <row r="91" spans="1:27" s="1879" customFormat="1" ht="25.5" customHeight="1">
      <c r="A91" s="1886" t="s">
        <v>1479</v>
      </c>
      <c r="B91" s="1891" t="s">
        <v>1480</v>
      </c>
      <c r="C91" s="1877" t="s">
        <v>1468</v>
      </c>
      <c r="D91" s="1878">
        <v>2013</v>
      </c>
      <c r="E91" s="1878">
        <v>2015</v>
      </c>
      <c r="F91" s="1872">
        <v>171000</v>
      </c>
      <c r="G91" s="1872"/>
      <c r="H91" s="1872"/>
      <c r="I91" s="1872">
        <v>55000</v>
      </c>
      <c r="J91" s="1872">
        <v>57000</v>
      </c>
      <c r="K91" s="1872">
        <v>59000</v>
      </c>
      <c r="L91" s="1872">
        <v>0</v>
      </c>
      <c r="M91" s="1872">
        <v>0</v>
      </c>
      <c r="N91" s="1872">
        <v>0</v>
      </c>
      <c r="O91" s="1872">
        <v>0</v>
      </c>
      <c r="P91" s="1872">
        <v>0</v>
      </c>
      <c r="Q91" s="1872"/>
      <c r="R91" s="1872"/>
      <c r="S91" s="1872"/>
      <c r="T91" s="1872"/>
      <c r="U91" s="1872"/>
      <c r="V91" s="1872"/>
      <c r="W91" s="1872"/>
      <c r="X91" s="1872"/>
      <c r="Y91" s="1872">
        <f t="shared" si="13"/>
        <v>171000</v>
      </c>
      <c r="Z91" s="1873">
        <v>55000</v>
      </c>
      <c r="AA91" s="1872">
        <f t="shared" si="12"/>
        <v>116000</v>
      </c>
    </row>
    <row r="92" spans="1:27" s="1879" customFormat="1" ht="24.75" customHeight="1">
      <c r="A92" s="1886" t="s">
        <v>1481</v>
      </c>
      <c r="B92" s="1891" t="s">
        <v>1482</v>
      </c>
      <c r="C92" s="1877" t="s">
        <v>1468</v>
      </c>
      <c r="D92" s="1878">
        <v>2013</v>
      </c>
      <c r="E92" s="1878">
        <v>2015</v>
      </c>
      <c r="F92" s="1872">
        <v>506000</v>
      </c>
      <c r="G92" s="1872"/>
      <c r="H92" s="1872"/>
      <c r="I92" s="1872">
        <v>156000</v>
      </c>
      <c r="J92" s="1872">
        <v>170000</v>
      </c>
      <c r="K92" s="1872">
        <v>180000</v>
      </c>
      <c r="L92" s="1872">
        <v>0</v>
      </c>
      <c r="M92" s="1872">
        <v>0</v>
      </c>
      <c r="N92" s="1872">
        <v>0</v>
      </c>
      <c r="O92" s="1872">
        <v>0</v>
      </c>
      <c r="P92" s="1872">
        <v>0</v>
      </c>
      <c r="Q92" s="1872"/>
      <c r="R92" s="1872"/>
      <c r="S92" s="1872"/>
      <c r="T92" s="1872"/>
      <c r="U92" s="1872"/>
      <c r="V92" s="1872"/>
      <c r="W92" s="1872"/>
      <c r="X92" s="1872"/>
      <c r="Y92" s="1872">
        <f t="shared" si="13"/>
        <v>506000</v>
      </c>
      <c r="Z92" s="1873">
        <v>156000</v>
      </c>
      <c r="AA92" s="1872">
        <f t="shared" si="12"/>
        <v>350000</v>
      </c>
    </row>
    <row r="93" spans="1:27" s="1879" customFormat="1" ht="27" customHeight="1">
      <c r="A93" s="1886" t="s">
        <v>1483</v>
      </c>
      <c r="B93" s="1891" t="s">
        <v>1484</v>
      </c>
      <c r="C93" s="1877" t="s">
        <v>1468</v>
      </c>
      <c r="D93" s="1878">
        <v>2013</v>
      </c>
      <c r="E93" s="1878">
        <v>2015</v>
      </c>
      <c r="F93" s="1872">
        <v>298000</v>
      </c>
      <c r="G93" s="1872"/>
      <c r="H93" s="1872"/>
      <c r="I93" s="1872">
        <v>93000</v>
      </c>
      <c r="J93" s="1872">
        <v>100000</v>
      </c>
      <c r="K93" s="1872">
        <v>105000</v>
      </c>
      <c r="L93" s="1872">
        <v>0</v>
      </c>
      <c r="M93" s="1872">
        <v>0</v>
      </c>
      <c r="N93" s="1872">
        <v>0</v>
      </c>
      <c r="O93" s="1872">
        <v>0</v>
      </c>
      <c r="P93" s="1872">
        <v>0</v>
      </c>
      <c r="Q93" s="1872"/>
      <c r="R93" s="1872"/>
      <c r="S93" s="1872"/>
      <c r="T93" s="1872"/>
      <c r="U93" s="1872"/>
      <c r="V93" s="1872"/>
      <c r="W93" s="1872"/>
      <c r="X93" s="1872"/>
      <c r="Y93" s="1872">
        <f t="shared" si="13"/>
        <v>298000</v>
      </c>
      <c r="Z93" s="1873">
        <v>93000</v>
      </c>
      <c r="AA93" s="1872">
        <f aca="true" t="shared" si="14" ref="AA93:AA113">SUM(J93:X93)</f>
        <v>205000</v>
      </c>
    </row>
    <row r="94" spans="1:27" s="1879" customFormat="1" ht="27" customHeight="1">
      <c r="A94" s="1886" t="s">
        <v>1485</v>
      </c>
      <c r="B94" s="1891" t="s">
        <v>1486</v>
      </c>
      <c r="C94" s="1877" t="s">
        <v>1468</v>
      </c>
      <c r="D94" s="1878">
        <v>2013</v>
      </c>
      <c r="E94" s="1878">
        <v>2015</v>
      </c>
      <c r="F94" s="1872">
        <v>339000</v>
      </c>
      <c r="G94" s="1872"/>
      <c r="H94" s="1872"/>
      <c r="I94" s="1872">
        <v>108000</v>
      </c>
      <c r="J94" s="1872">
        <v>113000</v>
      </c>
      <c r="K94" s="1872">
        <v>118000</v>
      </c>
      <c r="L94" s="1872">
        <v>0</v>
      </c>
      <c r="M94" s="1872">
        <v>0</v>
      </c>
      <c r="N94" s="1872">
        <v>0</v>
      </c>
      <c r="O94" s="1872">
        <v>0</v>
      </c>
      <c r="P94" s="1872">
        <v>0</v>
      </c>
      <c r="Q94" s="1872"/>
      <c r="R94" s="1872"/>
      <c r="S94" s="1872"/>
      <c r="T94" s="1872"/>
      <c r="U94" s="1872"/>
      <c r="V94" s="1872"/>
      <c r="W94" s="1872"/>
      <c r="X94" s="1872"/>
      <c r="Y94" s="1872">
        <f t="shared" si="13"/>
        <v>339000</v>
      </c>
      <c r="Z94" s="1873">
        <v>108000</v>
      </c>
      <c r="AA94" s="1872">
        <f t="shared" si="14"/>
        <v>231000</v>
      </c>
    </row>
    <row r="95" spans="1:27" s="1879" customFormat="1" ht="27" customHeight="1">
      <c r="A95" s="1886" t="s">
        <v>1487</v>
      </c>
      <c r="B95" s="1891" t="s">
        <v>1488</v>
      </c>
      <c r="C95" s="1877" t="s">
        <v>1307</v>
      </c>
      <c r="D95" s="1878">
        <v>2013</v>
      </c>
      <c r="E95" s="1878">
        <v>2014</v>
      </c>
      <c r="F95" s="1872">
        <v>55200</v>
      </c>
      <c r="G95" s="1872"/>
      <c r="H95" s="1872"/>
      <c r="I95" s="1872">
        <v>32200</v>
      </c>
      <c r="J95" s="1872">
        <v>23000</v>
      </c>
      <c r="K95" s="1872">
        <v>0</v>
      </c>
      <c r="L95" s="1872">
        <v>0</v>
      </c>
      <c r="M95" s="1872">
        <v>0</v>
      </c>
      <c r="N95" s="1872">
        <v>0</v>
      </c>
      <c r="O95" s="1872">
        <v>0</v>
      </c>
      <c r="P95" s="1872">
        <v>0</v>
      </c>
      <c r="Q95" s="1872"/>
      <c r="R95" s="1872"/>
      <c r="S95" s="1872"/>
      <c r="T95" s="1872"/>
      <c r="U95" s="1872"/>
      <c r="V95" s="1872"/>
      <c r="W95" s="1872"/>
      <c r="X95" s="1872"/>
      <c r="Y95" s="1872">
        <f t="shared" si="13"/>
        <v>55200</v>
      </c>
      <c r="Z95" s="1892">
        <v>32200</v>
      </c>
      <c r="AA95" s="1872">
        <f t="shared" si="14"/>
        <v>23000</v>
      </c>
    </row>
    <row r="96" spans="1:27" s="1879" customFormat="1" ht="25.5" customHeight="1">
      <c r="A96" s="1886" t="s">
        <v>1489</v>
      </c>
      <c r="B96" s="1896" t="s">
        <v>1490</v>
      </c>
      <c r="C96" s="1877" t="s">
        <v>1468</v>
      </c>
      <c r="D96" s="1878">
        <v>2013</v>
      </c>
      <c r="E96" s="1878">
        <v>2015</v>
      </c>
      <c r="F96" s="1872">
        <v>305000</v>
      </c>
      <c r="G96" s="1872"/>
      <c r="H96" s="1872"/>
      <c r="I96" s="1872">
        <v>15000</v>
      </c>
      <c r="J96" s="1872">
        <v>140000</v>
      </c>
      <c r="K96" s="1872">
        <v>150000</v>
      </c>
      <c r="L96" s="1872">
        <v>0</v>
      </c>
      <c r="M96" s="1872">
        <v>0</v>
      </c>
      <c r="N96" s="1872">
        <v>0</v>
      </c>
      <c r="O96" s="1872">
        <v>0</v>
      </c>
      <c r="P96" s="1872">
        <v>0</v>
      </c>
      <c r="Q96" s="1872"/>
      <c r="R96" s="1872"/>
      <c r="S96" s="1872"/>
      <c r="T96" s="1872"/>
      <c r="U96" s="1872"/>
      <c r="V96" s="1872"/>
      <c r="W96" s="1872"/>
      <c r="X96" s="1872"/>
      <c r="Y96" s="1872">
        <f t="shared" si="13"/>
        <v>305000</v>
      </c>
      <c r="Z96" s="1873">
        <v>15000</v>
      </c>
      <c r="AA96" s="1872">
        <f t="shared" si="14"/>
        <v>290000</v>
      </c>
    </row>
    <row r="97" spans="1:27" s="1879" customFormat="1" ht="27" customHeight="1">
      <c r="A97" s="1886" t="s">
        <v>1491</v>
      </c>
      <c r="B97" s="1891" t="s">
        <v>1492</v>
      </c>
      <c r="C97" s="1877" t="s">
        <v>1468</v>
      </c>
      <c r="D97" s="1878">
        <v>2013</v>
      </c>
      <c r="E97" s="1878">
        <v>2015</v>
      </c>
      <c r="F97" s="1872">
        <v>914400</v>
      </c>
      <c r="G97" s="1872"/>
      <c r="H97" s="1872"/>
      <c r="I97" s="1872">
        <v>257000</v>
      </c>
      <c r="J97" s="1872">
        <v>318000</v>
      </c>
      <c r="K97" s="1872">
        <v>339400</v>
      </c>
      <c r="L97" s="1872">
        <v>0</v>
      </c>
      <c r="M97" s="1872">
        <v>0</v>
      </c>
      <c r="N97" s="1872">
        <v>0</v>
      </c>
      <c r="O97" s="1872">
        <v>0</v>
      </c>
      <c r="P97" s="1872">
        <v>0</v>
      </c>
      <c r="Q97" s="1872"/>
      <c r="R97" s="1872"/>
      <c r="S97" s="1872"/>
      <c r="T97" s="1872"/>
      <c r="U97" s="1872"/>
      <c r="V97" s="1872"/>
      <c r="W97" s="1872"/>
      <c r="X97" s="1872"/>
      <c r="Y97" s="1872">
        <f t="shared" si="13"/>
        <v>914400</v>
      </c>
      <c r="Z97" s="1873">
        <v>230380</v>
      </c>
      <c r="AA97" s="1872">
        <f t="shared" si="14"/>
        <v>657400</v>
      </c>
    </row>
    <row r="98" spans="1:27" s="1879" customFormat="1" ht="27" customHeight="1">
      <c r="A98" s="1886" t="s">
        <v>1493</v>
      </c>
      <c r="B98" s="1891" t="s">
        <v>1494</v>
      </c>
      <c r="C98" s="1877" t="s">
        <v>1468</v>
      </c>
      <c r="D98" s="1878">
        <v>2013</v>
      </c>
      <c r="E98" s="1878">
        <v>2015</v>
      </c>
      <c r="F98" s="1872">
        <v>1100000</v>
      </c>
      <c r="G98" s="1872"/>
      <c r="H98" s="1872"/>
      <c r="I98" s="1872">
        <v>340000</v>
      </c>
      <c r="J98" s="1872">
        <v>370000</v>
      </c>
      <c r="K98" s="1872">
        <v>390000</v>
      </c>
      <c r="L98" s="1872">
        <v>0</v>
      </c>
      <c r="M98" s="1872">
        <v>0</v>
      </c>
      <c r="N98" s="1872">
        <v>0</v>
      </c>
      <c r="O98" s="1872">
        <v>0</v>
      </c>
      <c r="P98" s="1872">
        <v>0</v>
      </c>
      <c r="Q98" s="1872"/>
      <c r="R98" s="1872"/>
      <c r="S98" s="1872"/>
      <c r="T98" s="1872"/>
      <c r="U98" s="1872"/>
      <c r="V98" s="1872"/>
      <c r="W98" s="1872"/>
      <c r="X98" s="1872"/>
      <c r="Y98" s="1872">
        <f t="shared" si="13"/>
        <v>1100000</v>
      </c>
      <c r="Z98" s="1873">
        <v>340000</v>
      </c>
      <c r="AA98" s="1872">
        <f t="shared" si="14"/>
        <v>760000</v>
      </c>
    </row>
    <row r="99" spans="1:27" s="1879" customFormat="1" ht="51.75" customHeight="1">
      <c r="A99" s="1886" t="s">
        <v>1495</v>
      </c>
      <c r="B99" s="1891" t="s">
        <v>1496</v>
      </c>
      <c r="C99" s="1877" t="s">
        <v>1468</v>
      </c>
      <c r="D99" s="1878">
        <v>2013</v>
      </c>
      <c r="E99" s="1878">
        <v>2015</v>
      </c>
      <c r="F99" s="1872">
        <v>154000</v>
      </c>
      <c r="G99" s="1872"/>
      <c r="H99" s="1872"/>
      <c r="I99" s="1872">
        <v>45000</v>
      </c>
      <c r="J99" s="1872">
        <v>52000</v>
      </c>
      <c r="K99" s="1872">
        <v>57000</v>
      </c>
      <c r="L99" s="1872">
        <v>0</v>
      </c>
      <c r="M99" s="1872">
        <v>0</v>
      </c>
      <c r="N99" s="1872">
        <v>0</v>
      </c>
      <c r="O99" s="1872">
        <v>0</v>
      </c>
      <c r="P99" s="1872">
        <v>0</v>
      </c>
      <c r="Q99" s="1872"/>
      <c r="R99" s="1872"/>
      <c r="S99" s="1872"/>
      <c r="T99" s="1872"/>
      <c r="U99" s="1872"/>
      <c r="V99" s="1872"/>
      <c r="W99" s="1872"/>
      <c r="X99" s="1872"/>
      <c r="Y99" s="1872">
        <f t="shared" si="13"/>
        <v>154000</v>
      </c>
      <c r="Z99" s="1873">
        <v>45000</v>
      </c>
      <c r="AA99" s="1872">
        <f t="shared" si="14"/>
        <v>109000</v>
      </c>
    </row>
    <row r="100" spans="1:27" s="1879" customFormat="1" ht="51.75" customHeight="1">
      <c r="A100" s="1886" t="s">
        <v>1497</v>
      </c>
      <c r="B100" s="1891" t="s">
        <v>1498</v>
      </c>
      <c r="C100" s="1877" t="s">
        <v>1468</v>
      </c>
      <c r="D100" s="1878">
        <v>2013</v>
      </c>
      <c r="E100" s="1878">
        <v>2015</v>
      </c>
      <c r="F100" s="1872">
        <v>48000</v>
      </c>
      <c r="G100" s="1872"/>
      <c r="H100" s="1872"/>
      <c r="I100" s="1872">
        <v>14000</v>
      </c>
      <c r="J100" s="1872">
        <v>16000</v>
      </c>
      <c r="K100" s="1872">
        <v>18000</v>
      </c>
      <c r="L100" s="1872">
        <v>0</v>
      </c>
      <c r="M100" s="1872">
        <v>0</v>
      </c>
      <c r="N100" s="1872">
        <v>0</v>
      </c>
      <c r="O100" s="1872">
        <v>0</v>
      </c>
      <c r="P100" s="1872">
        <v>0</v>
      </c>
      <c r="Q100" s="1872"/>
      <c r="R100" s="1872"/>
      <c r="S100" s="1872"/>
      <c r="T100" s="1872"/>
      <c r="U100" s="1872"/>
      <c r="V100" s="1872"/>
      <c r="W100" s="1872"/>
      <c r="X100" s="1872"/>
      <c r="Y100" s="1872">
        <f t="shared" si="13"/>
        <v>48000</v>
      </c>
      <c r="Z100" s="1873">
        <v>13910.54</v>
      </c>
      <c r="AA100" s="1872">
        <f t="shared" si="14"/>
        <v>34000</v>
      </c>
    </row>
    <row r="101" spans="1:27" s="1879" customFormat="1" ht="51.75" customHeight="1">
      <c r="A101" s="1886" t="s">
        <v>1499</v>
      </c>
      <c r="B101" s="1891" t="s">
        <v>1500</v>
      </c>
      <c r="C101" s="1877" t="s">
        <v>1468</v>
      </c>
      <c r="D101" s="1878">
        <v>2013</v>
      </c>
      <c r="E101" s="1878">
        <v>2015</v>
      </c>
      <c r="F101" s="1872">
        <v>28740</v>
      </c>
      <c r="G101" s="1872"/>
      <c r="H101" s="1872"/>
      <c r="I101" s="1872">
        <v>6900</v>
      </c>
      <c r="J101" s="1872">
        <v>9920</v>
      </c>
      <c r="K101" s="1872">
        <v>11920</v>
      </c>
      <c r="L101" s="1872">
        <v>0</v>
      </c>
      <c r="M101" s="1872">
        <v>0</v>
      </c>
      <c r="N101" s="1872">
        <v>0</v>
      </c>
      <c r="O101" s="1872">
        <v>0</v>
      </c>
      <c r="P101" s="1872">
        <v>0</v>
      </c>
      <c r="Q101" s="1872"/>
      <c r="R101" s="1872"/>
      <c r="S101" s="1872"/>
      <c r="T101" s="1872"/>
      <c r="U101" s="1872"/>
      <c r="V101" s="1872"/>
      <c r="W101" s="1872"/>
      <c r="X101" s="1872"/>
      <c r="Y101" s="1872">
        <f t="shared" si="13"/>
        <v>28740</v>
      </c>
      <c r="Z101" s="1873">
        <v>6900</v>
      </c>
      <c r="AA101" s="1872">
        <f t="shared" si="14"/>
        <v>21840</v>
      </c>
    </row>
    <row r="102" spans="1:27" s="1879" customFormat="1" ht="38.25" customHeight="1">
      <c r="A102" s="1886" t="s">
        <v>1501</v>
      </c>
      <c r="B102" s="1891" t="s">
        <v>1502</v>
      </c>
      <c r="C102" s="1877" t="s">
        <v>1468</v>
      </c>
      <c r="D102" s="1878">
        <v>2013</v>
      </c>
      <c r="E102" s="1878">
        <v>2015</v>
      </c>
      <c r="F102" s="1872">
        <v>63000</v>
      </c>
      <c r="G102" s="1872"/>
      <c r="H102" s="1872"/>
      <c r="I102" s="1872">
        <v>19000</v>
      </c>
      <c r="J102" s="1872">
        <v>21000</v>
      </c>
      <c r="K102" s="1872">
        <v>23000</v>
      </c>
      <c r="L102" s="1872">
        <v>0</v>
      </c>
      <c r="M102" s="1872">
        <v>0</v>
      </c>
      <c r="N102" s="1872">
        <v>0</v>
      </c>
      <c r="O102" s="1872">
        <v>0</v>
      </c>
      <c r="P102" s="1872">
        <v>0</v>
      </c>
      <c r="Q102" s="1872"/>
      <c r="R102" s="1872"/>
      <c r="S102" s="1872"/>
      <c r="T102" s="1872"/>
      <c r="U102" s="1872"/>
      <c r="V102" s="1872"/>
      <c r="W102" s="1872"/>
      <c r="X102" s="1872"/>
      <c r="Y102" s="1872">
        <f t="shared" si="13"/>
        <v>63000</v>
      </c>
      <c r="Z102" s="1873">
        <v>19000</v>
      </c>
      <c r="AA102" s="1872">
        <f t="shared" si="14"/>
        <v>44000</v>
      </c>
    </row>
    <row r="103" spans="1:27" s="1879" customFormat="1" ht="27" customHeight="1">
      <c r="A103" s="1886" t="s">
        <v>1503</v>
      </c>
      <c r="B103" s="1891" t="s">
        <v>1504</v>
      </c>
      <c r="C103" s="1877" t="s">
        <v>1468</v>
      </c>
      <c r="D103" s="1878">
        <v>2013</v>
      </c>
      <c r="E103" s="1878">
        <v>2014</v>
      </c>
      <c r="F103" s="1872">
        <v>47000</v>
      </c>
      <c r="G103" s="1872"/>
      <c r="H103" s="1872"/>
      <c r="I103" s="1872">
        <v>20000</v>
      </c>
      <c r="J103" s="1872">
        <v>27000</v>
      </c>
      <c r="K103" s="1872">
        <v>0</v>
      </c>
      <c r="L103" s="1872">
        <v>0</v>
      </c>
      <c r="M103" s="1872">
        <v>0</v>
      </c>
      <c r="N103" s="1872">
        <v>0</v>
      </c>
      <c r="O103" s="1872">
        <v>0</v>
      </c>
      <c r="P103" s="1872">
        <v>0</v>
      </c>
      <c r="Q103" s="1872"/>
      <c r="R103" s="1872"/>
      <c r="S103" s="1872"/>
      <c r="T103" s="1872"/>
      <c r="U103" s="1872"/>
      <c r="V103" s="1872"/>
      <c r="W103" s="1872"/>
      <c r="X103" s="1872"/>
      <c r="Y103" s="1872">
        <f t="shared" si="13"/>
        <v>47000</v>
      </c>
      <c r="Z103" s="1873">
        <v>20000</v>
      </c>
      <c r="AA103" s="1872">
        <f t="shared" si="14"/>
        <v>27000</v>
      </c>
    </row>
    <row r="104" spans="1:27" s="1879" customFormat="1" ht="27.75" customHeight="1">
      <c r="A104" s="1886" t="s">
        <v>1505</v>
      </c>
      <c r="B104" s="1891" t="s">
        <v>1506</v>
      </c>
      <c r="C104" s="1877" t="s">
        <v>1507</v>
      </c>
      <c r="D104" s="1878">
        <v>2013</v>
      </c>
      <c r="E104" s="1878">
        <v>2014</v>
      </c>
      <c r="F104" s="1872">
        <v>11080800</v>
      </c>
      <c r="G104" s="1872"/>
      <c r="H104" s="1872">
        <v>1114017</v>
      </c>
      <c r="I104" s="1872">
        <v>3693600</v>
      </c>
      <c r="J104" s="1872">
        <v>7387200</v>
      </c>
      <c r="K104" s="1872">
        <v>0</v>
      </c>
      <c r="L104" s="1872">
        <v>0</v>
      </c>
      <c r="M104" s="1872">
        <v>0</v>
      </c>
      <c r="N104" s="1872">
        <v>0</v>
      </c>
      <c r="O104" s="1872">
        <v>0</v>
      </c>
      <c r="P104" s="1872">
        <v>0</v>
      </c>
      <c r="Q104" s="1872"/>
      <c r="R104" s="1872"/>
      <c r="S104" s="1872"/>
      <c r="T104" s="1872"/>
      <c r="U104" s="1872"/>
      <c r="V104" s="1872"/>
      <c r="W104" s="1872"/>
      <c r="X104" s="1872"/>
      <c r="Y104" s="1872">
        <f t="shared" si="13"/>
        <v>11080800</v>
      </c>
      <c r="Z104" s="1873">
        <v>2781950.13</v>
      </c>
      <c r="AA104" s="1872">
        <f t="shared" si="14"/>
        <v>7387200</v>
      </c>
    </row>
    <row r="105" spans="1:27" s="1879" customFormat="1" ht="39" customHeight="1">
      <c r="A105" s="1886" t="s">
        <v>1508</v>
      </c>
      <c r="B105" s="1891" t="s">
        <v>1509</v>
      </c>
      <c r="C105" s="1877" t="s">
        <v>1342</v>
      </c>
      <c r="D105" s="1878">
        <v>2011</v>
      </c>
      <c r="E105" s="1878">
        <v>2014</v>
      </c>
      <c r="F105" s="1872">
        <v>3600000</v>
      </c>
      <c r="G105" s="1872"/>
      <c r="H105" s="1872">
        <v>1114017</v>
      </c>
      <c r="I105" s="1872">
        <v>1200000</v>
      </c>
      <c r="J105" s="1872">
        <v>600000</v>
      </c>
      <c r="K105" s="1872">
        <v>0</v>
      </c>
      <c r="L105" s="1872">
        <v>0</v>
      </c>
      <c r="M105" s="1872">
        <v>0</v>
      </c>
      <c r="N105" s="1872">
        <v>0</v>
      </c>
      <c r="O105" s="1872">
        <v>0</v>
      </c>
      <c r="P105" s="1872">
        <v>0</v>
      </c>
      <c r="Q105" s="1872"/>
      <c r="R105" s="1872"/>
      <c r="S105" s="1872"/>
      <c r="T105" s="1872"/>
      <c r="U105" s="1872"/>
      <c r="V105" s="1872"/>
      <c r="W105" s="1872"/>
      <c r="X105" s="1872"/>
      <c r="Y105" s="1872">
        <f t="shared" si="13"/>
        <v>1800000</v>
      </c>
      <c r="Z105" s="1873">
        <v>1108473.24</v>
      </c>
      <c r="AA105" s="1872">
        <f t="shared" si="14"/>
        <v>600000</v>
      </c>
    </row>
    <row r="106" spans="1:27" s="1879" customFormat="1" ht="41.25" customHeight="1">
      <c r="A106" s="1886" t="s">
        <v>1510</v>
      </c>
      <c r="B106" s="1891" t="s">
        <v>1511</v>
      </c>
      <c r="C106" s="1877" t="s">
        <v>1342</v>
      </c>
      <c r="D106" s="1878">
        <v>2013</v>
      </c>
      <c r="E106" s="1878">
        <v>2014</v>
      </c>
      <c r="F106" s="1872">
        <v>1300000</v>
      </c>
      <c r="G106" s="1872"/>
      <c r="H106" s="1872">
        <v>1600000</v>
      </c>
      <c r="I106" s="1872">
        <v>1000000</v>
      </c>
      <c r="J106" s="1872">
        <v>300000</v>
      </c>
      <c r="K106" s="1872">
        <v>0</v>
      </c>
      <c r="L106" s="1872">
        <v>0</v>
      </c>
      <c r="M106" s="1872">
        <v>0</v>
      </c>
      <c r="N106" s="1872">
        <v>0</v>
      </c>
      <c r="O106" s="1872">
        <v>0</v>
      </c>
      <c r="P106" s="1872">
        <v>0</v>
      </c>
      <c r="Q106" s="1872"/>
      <c r="R106" s="1872"/>
      <c r="S106" s="1872"/>
      <c r="T106" s="1872"/>
      <c r="U106" s="1872"/>
      <c r="V106" s="1872"/>
      <c r="W106" s="1872"/>
      <c r="X106" s="1872"/>
      <c r="Y106" s="1872">
        <f t="shared" si="13"/>
        <v>1300000</v>
      </c>
      <c r="Z106" s="1873">
        <v>456535.83</v>
      </c>
      <c r="AA106" s="1872">
        <f t="shared" si="14"/>
        <v>300000</v>
      </c>
    </row>
    <row r="107" spans="1:27" s="1879" customFormat="1" ht="25.5" customHeight="1">
      <c r="A107" s="1886" t="s">
        <v>1512</v>
      </c>
      <c r="B107" s="1891" t="s">
        <v>1513</v>
      </c>
      <c r="C107" s="1877" t="s">
        <v>1342</v>
      </c>
      <c r="D107" s="1878">
        <v>2012</v>
      </c>
      <c r="E107" s="1878">
        <v>2014</v>
      </c>
      <c r="F107" s="1872">
        <v>1800000</v>
      </c>
      <c r="G107" s="1872"/>
      <c r="H107" s="1872">
        <v>2500000</v>
      </c>
      <c r="I107" s="1872">
        <v>800000</v>
      </c>
      <c r="J107" s="1872">
        <v>400000</v>
      </c>
      <c r="K107" s="1872">
        <v>0</v>
      </c>
      <c r="L107" s="1872">
        <v>0</v>
      </c>
      <c r="M107" s="1872">
        <v>0</v>
      </c>
      <c r="N107" s="1872">
        <v>0</v>
      </c>
      <c r="O107" s="1872">
        <v>0</v>
      </c>
      <c r="P107" s="1872">
        <v>0</v>
      </c>
      <c r="Q107" s="1872"/>
      <c r="R107" s="1872"/>
      <c r="S107" s="1872"/>
      <c r="T107" s="1872"/>
      <c r="U107" s="1872"/>
      <c r="V107" s="1872"/>
      <c r="W107" s="1872"/>
      <c r="X107" s="1872"/>
      <c r="Y107" s="1872">
        <f t="shared" si="13"/>
        <v>1200000</v>
      </c>
      <c r="Z107" s="1873">
        <v>436196.32</v>
      </c>
      <c r="AA107" s="1872">
        <f t="shared" si="14"/>
        <v>400000</v>
      </c>
    </row>
    <row r="108" spans="1:27" s="1879" customFormat="1" ht="29.25" customHeight="1">
      <c r="A108" s="1886" t="s">
        <v>1514</v>
      </c>
      <c r="B108" s="1891" t="s">
        <v>1515</v>
      </c>
      <c r="C108" s="1876" t="s">
        <v>1342</v>
      </c>
      <c r="D108" s="1878">
        <v>2012</v>
      </c>
      <c r="E108" s="1878">
        <v>2014</v>
      </c>
      <c r="F108" s="1872">
        <v>450000</v>
      </c>
      <c r="G108" s="1872"/>
      <c r="H108" s="1872">
        <v>180000</v>
      </c>
      <c r="I108" s="1872">
        <v>250000</v>
      </c>
      <c r="J108" s="1872">
        <v>100000</v>
      </c>
      <c r="K108" s="1872">
        <v>0</v>
      </c>
      <c r="L108" s="1872">
        <v>0</v>
      </c>
      <c r="M108" s="1872">
        <v>0</v>
      </c>
      <c r="N108" s="1872">
        <v>0</v>
      </c>
      <c r="O108" s="1872">
        <v>0</v>
      </c>
      <c r="P108" s="1872">
        <v>0</v>
      </c>
      <c r="Q108" s="1872"/>
      <c r="R108" s="1872"/>
      <c r="S108" s="1872"/>
      <c r="T108" s="1872"/>
      <c r="U108" s="1872"/>
      <c r="V108" s="1872"/>
      <c r="W108" s="1872"/>
      <c r="X108" s="1872"/>
      <c r="Y108" s="1872">
        <f t="shared" si="13"/>
        <v>350000</v>
      </c>
      <c r="Z108" s="1873">
        <v>81745.12</v>
      </c>
      <c r="AA108" s="1872">
        <f t="shared" si="14"/>
        <v>100000</v>
      </c>
    </row>
    <row r="109" spans="1:27" s="1879" customFormat="1" ht="30" customHeight="1">
      <c r="A109" s="1886" t="s">
        <v>1516</v>
      </c>
      <c r="B109" s="1891" t="s">
        <v>1517</v>
      </c>
      <c r="C109" s="1877" t="s">
        <v>1342</v>
      </c>
      <c r="D109" s="1878">
        <v>2013</v>
      </c>
      <c r="E109" s="1878">
        <v>2015</v>
      </c>
      <c r="F109" s="1872">
        <v>240000</v>
      </c>
      <c r="G109" s="1872"/>
      <c r="H109" s="1872">
        <v>65000</v>
      </c>
      <c r="I109" s="1872">
        <v>80000</v>
      </c>
      <c r="J109" s="1872">
        <v>80000</v>
      </c>
      <c r="K109" s="1872">
        <v>80000</v>
      </c>
      <c r="L109" s="1872">
        <v>0</v>
      </c>
      <c r="M109" s="1872">
        <v>0</v>
      </c>
      <c r="N109" s="1872">
        <v>0</v>
      </c>
      <c r="O109" s="1872">
        <v>0</v>
      </c>
      <c r="P109" s="1872">
        <v>0</v>
      </c>
      <c r="Q109" s="1872"/>
      <c r="R109" s="1872"/>
      <c r="S109" s="1872"/>
      <c r="T109" s="1872"/>
      <c r="U109" s="1872"/>
      <c r="V109" s="1872"/>
      <c r="W109" s="1872"/>
      <c r="X109" s="1872"/>
      <c r="Y109" s="1872">
        <f t="shared" si="13"/>
        <v>240000</v>
      </c>
      <c r="Z109" s="1873">
        <v>64826.13</v>
      </c>
      <c r="AA109" s="1872">
        <f t="shared" si="14"/>
        <v>160000</v>
      </c>
    </row>
    <row r="110" spans="1:27" s="1879" customFormat="1" ht="27" customHeight="1">
      <c r="A110" s="1886" t="s">
        <v>1518</v>
      </c>
      <c r="B110" s="1891" t="s">
        <v>1519</v>
      </c>
      <c r="C110" s="1877" t="s">
        <v>1342</v>
      </c>
      <c r="D110" s="1878">
        <v>2013</v>
      </c>
      <c r="E110" s="1878">
        <v>2014</v>
      </c>
      <c r="F110" s="1872">
        <v>100000</v>
      </c>
      <c r="G110" s="1872"/>
      <c r="H110" s="1872">
        <v>65000</v>
      </c>
      <c r="I110" s="1872">
        <v>50000</v>
      </c>
      <c r="J110" s="1872">
        <v>50000</v>
      </c>
      <c r="K110" s="1872">
        <v>0</v>
      </c>
      <c r="L110" s="1872">
        <v>0</v>
      </c>
      <c r="M110" s="1872">
        <v>0</v>
      </c>
      <c r="N110" s="1872">
        <v>0</v>
      </c>
      <c r="O110" s="1872">
        <v>0</v>
      </c>
      <c r="P110" s="1872">
        <v>0</v>
      </c>
      <c r="Q110" s="1872"/>
      <c r="R110" s="1872"/>
      <c r="S110" s="1872"/>
      <c r="T110" s="1872"/>
      <c r="U110" s="1872"/>
      <c r="V110" s="1872"/>
      <c r="W110" s="1872"/>
      <c r="X110" s="1872"/>
      <c r="Y110" s="1872">
        <f t="shared" si="13"/>
        <v>100000</v>
      </c>
      <c r="Z110" s="1873">
        <v>0</v>
      </c>
      <c r="AA110" s="1872">
        <f t="shared" si="14"/>
        <v>50000</v>
      </c>
    </row>
    <row r="111" spans="1:27" s="1879" customFormat="1" ht="27.75" customHeight="1">
      <c r="A111" s="1886" t="s">
        <v>1520</v>
      </c>
      <c r="B111" s="1891" t="s">
        <v>1521</v>
      </c>
      <c r="C111" s="1877" t="s">
        <v>687</v>
      </c>
      <c r="D111" s="1878">
        <v>2012</v>
      </c>
      <c r="E111" s="1878">
        <v>2015</v>
      </c>
      <c r="F111" s="1872">
        <v>1042207</v>
      </c>
      <c r="G111" s="1872"/>
      <c r="H111" s="1872">
        <v>340000</v>
      </c>
      <c r="I111" s="1872">
        <v>340000</v>
      </c>
      <c r="J111" s="1872">
        <v>340000</v>
      </c>
      <c r="K111" s="1872">
        <v>141667</v>
      </c>
      <c r="L111" s="1872">
        <v>0</v>
      </c>
      <c r="M111" s="1872">
        <v>0</v>
      </c>
      <c r="N111" s="1872">
        <v>0</v>
      </c>
      <c r="O111" s="1872">
        <v>0</v>
      </c>
      <c r="P111" s="1872">
        <v>0</v>
      </c>
      <c r="Q111" s="1872"/>
      <c r="R111" s="1872"/>
      <c r="S111" s="1872"/>
      <c r="T111" s="1872"/>
      <c r="U111" s="1872"/>
      <c r="V111" s="1872"/>
      <c r="W111" s="1872"/>
      <c r="X111" s="1872"/>
      <c r="Y111" s="1872">
        <f t="shared" si="13"/>
        <v>821667</v>
      </c>
      <c r="Z111" s="1873">
        <v>283334</v>
      </c>
      <c r="AA111" s="1872">
        <f t="shared" si="14"/>
        <v>481667</v>
      </c>
    </row>
    <row r="112" spans="1:27" s="1879" customFormat="1" ht="51" customHeight="1">
      <c r="A112" s="1886" t="s">
        <v>1522</v>
      </c>
      <c r="B112" s="1876" t="s">
        <v>1523</v>
      </c>
      <c r="C112" s="1877" t="s">
        <v>1318</v>
      </c>
      <c r="D112" s="1878">
        <v>2013</v>
      </c>
      <c r="E112" s="1878">
        <v>2017</v>
      </c>
      <c r="F112" s="1875">
        <v>6513000</v>
      </c>
      <c r="G112" s="1875"/>
      <c r="H112" s="1875"/>
      <c r="I112" s="1875">
        <v>1103000</v>
      </c>
      <c r="J112" s="1872">
        <v>1200000</v>
      </c>
      <c r="K112" s="1872">
        <v>1500000</v>
      </c>
      <c r="L112" s="1872">
        <v>1600000</v>
      </c>
      <c r="M112" s="1872">
        <v>1110000</v>
      </c>
      <c r="N112" s="1872">
        <v>0</v>
      </c>
      <c r="O112" s="1872">
        <v>0</v>
      </c>
      <c r="P112" s="1872">
        <v>0</v>
      </c>
      <c r="Q112" s="1872"/>
      <c r="R112" s="1872"/>
      <c r="S112" s="1872"/>
      <c r="T112" s="1872"/>
      <c r="U112" s="1872"/>
      <c r="V112" s="1872"/>
      <c r="W112" s="1872"/>
      <c r="X112" s="1872"/>
      <c r="Y112" s="1875">
        <f t="shared" si="13"/>
        <v>6513000</v>
      </c>
      <c r="Z112" s="1892">
        <v>1103000</v>
      </c>
      <c r="AA112" s="1872">
        <f t="shared" si="14"/>
        <v>5410000</v>
      </c>
    </row>
    <row r="113" spans="1:27" s="1879" customFormat="1" ht="39.75" customHeight="1">
      <c r="A113" s="1886" t="s">
        <v>1524</v>
      </c>
      <c r="B113" s="1868" t="s">
        <v>1325</v>
      </c>
      <c r="C113" s="1869" t="s">
        <v>1326</v>
      </c>
      <c r="D113" s="1870">
        <v>2013</v>
      </c>
      <c r="E113" s="1870">
        <v>2014</v>
      </c>
      <c r="F113" s="1871">
        <v>250000</v>
      </c>
      <c r="G113" s="1871"/>
      <c r="H113" s="1871"/>
      <c r="I113" s="1871">
        <v>125000</v>
      </c>
      <c r="J113" s="1871">
        <v>125000</v>
      </c>
      <c r="K113" s="1871">
        <v>0</v>
      </c>
      <c r="L113" s="1871">
        <v>0</v>
      </c>
      <c r="M113" s="1871">
        <v>0</v>
      </c>
      <c r="N113" s="1871">
        <v>0</v>
      </c>
      <c r="O113" s="1871">
        <v>0</v>
      </c>
      <c r="P113" s="1871">
        <v>0</v>
      </c>
      <c r="Q113" s="1871"/>
      <c r="R113" s="1871"/>
      <c r="S113" s="1871"/>
      <c r="T113" s="1871"/>
      <c r="U113" s="1871"/>
      <c r="V113" s="1871"/>
      <c r="W113" s="1871"/>
      <c r="X113" s="1871"/>
      <c r="Y113" s="1872">
        <f t="shared" si="13"/>
        <v>250000</v>
      </c>
      <c r="Z113" s="1873">
        <v>125000</v>
      </c>
      <c r="AA113" s="1872">
        <f t="shared" si="14"/>
        <v>125000</v>
      </c>
    </row>
    <row r="114" spans="1:27" s="1866" customFormat="1" ht="12">
      <c r="A114" s="1863" t="s">
        <v>1525</v>
      </c>
      <c r="B114" s="2184" t="s">
        <v>1301</v>
      </c>
      <c r="C114" s="2184"/>
      <c r="D114" s="2184"/>
      <c r="E114" s="2184"/>
      <c r="F114" s="1864">
        <f>SUM(F115:F124)</f>
        <v>75709000</v>
      </c>
      <c r="G114" s="1864">
        <f>SUM(G115,G118,G120,G124)</f>
        <v>0</v>
      </c>
      <c r="H114" s="1864">
        <f>SUM(H115,H118,H120,H124)</f>
        <v>0</v>
      </c>
      <c r="I114" s="1864">
        <f>SUM(I115:I124)</f>
        <v>9394000</v>
      </c>
      <c r="J114" s="1864">
        <f aca="true" t="shared" si="15" ref="J114:Y114">SUM(J115:J124)</f>
        <v>7176000</v>
      </c>
      <c r="K114" s="1864">
        <f t="shared" si="15"/>
        <v>4620000</v>
      </c>
      <c r="L114" s="1864">
        <f t="shared" si="15"/>
        <v>4900000</v>
      </c>
      <c r="M114" s="1864">
        <f t="shared" si="15"/>
        <v>4800000</v>
      </c>
      <c r="N114" s="1864">
        <f t="shared" si="15"/>
        <v>4800000</v>
      </c>
      <c r="O114" s="1864">
        <f t="shared" si="15"/>
        <v>0</v>
      </c>
      <c r="P114" s="1864">
        <f t="shared" si="15"/>
        <v>0</v>
      </c>
      <c r="Q114" s="1864"/>
      <c r="R114" s="1864"/>
      <c r="S114" s="1864"/>
      <c r="T114" s="1864"/>
      <c r="U114" s="1864"/>
      <c r="V114" s="1864"/>
      <c r="W114" s="1864"/>
      <c r="X114" s="1864"/>
      <c r="Y114" s="1864">
        <f t="shared" si="15"/>
        <v>35690000</v>
      </c>
      <c r="Z114" s="1865">
        <f>SUM(Z115:Z124)</f>
        <v>8341985.430000001</v>
      </c>
      <c r="AA114" s="1864">
        <f>SUM(AA115:AA124)</f>
        <v>26296000</v>
      </c>
    </row>
    <row r="115" spans="1:27" s="1874" customFormat="1" ht="27" customHeight="1" hidden="1">
      <c r="A115" s="1867" t="s">
        <v>1526</v>
      </c>
      <c r="B115" s="1868" t="s">
        <v>1527</v>
      </c>
      <c r="C115" s="1869" t="s">
        <v>1318</v>
      </c>
      <c r="D115" s="1870">
        <v>2013</v>
      </c>
      <c r="E115" s="1870">
        <v>2014</v>
      </c>
      <c r="F115" s="1871">
        <v>0</v>
      </c>
      <c r="G115" s="1871"/>
      <c r="H115" s="1871"/>
      <c r="I115" s="1871">
        <v>0</v>
      </c>
      <c r="J115" s="1871">
        <v>0</v>
      </c>
      <c r="K115" s="1871">
        <v>0</v>
      </c>
      <c r="L115" s="1871">
        <v>0</v>
      </c>
      <c r="M115" s="1871">
        <v>0</v>
      </c>
      <c r="N115" s="1871">
        <v>0</v>
      </c>
      <c r="O115" s="1871">
        <v>0</v>
      </c>
      <c r="P115" s="1871">
        <v>0</v>
      </c>
      <c r="Q115" s="1871"/>
      <c r="R115" s="1871"/>
      <c r="S115" s="1871"/>
      <c r="T115" s="1871"/>
      <c r="U115" s="1871"/>
      <c r="V115" s="1871"/>
      <c r="W115" s="1871"/>
      <c r="X115" s="1871"/>
      <c r="Y115" s="1872">
        <f>SUM(I115:P115)</f>
        <v>0</v>
      </c>
      <c r="Z115" s="1873">
        <f>SUM(J115:Q115)</f>
        <v>0</v>
      </c>
      <c r="AA115" s="1872">
        <f>SUM(K115:R115)</f>
        <v>0</v>
      </c>
    </row>
    <row r="116" spans="1:27" s="1874" customFormat="1" ht="27" customHeight="1">
      <c r="A116" s="1867" t="s">
        <v>1528</v>
      </c>
      <c r="B116" s="1868" t="s">
        <v>1529</v>
      </c>
      <c r="C116" s="1869" t="s">
        <v>1318</v>
      </c>
      <c r="D116" s="1870">
        <v>2007</v>
      </c>
      <c r="E116" s="1870">
        <v>2014</v>
      </c>
      <c r="F116" s="1871">
        <v>43830000</v>
      </c>
      <c r="G116" s="1871"/>
      <c r="H116" s="1871"/>
      <c r="I116" s="1871">
        <v>6565000</v>
      </c>
      <c r="J116" s="1871">
        <v>250000</v>
      </c>
      <c r="K116" s="1871">
        <v>0</v>
      </c>
      <c r="L116" s="1871">
        <v>0</v>
      </c>
      <c r="M116" s="1871">
        <v>0</v>
      </c>
      <c r="N116" s="1871">
        <v>0</v>
      </c>
      <c r="O116" s="1871">
        <v>0</v>
      </c>
      <c r="P116" s="1871">
        <v>0</v>
      </c>
      <c r="Q116" s="1871"/>
      <c r="R116" s="1871"/>
      <c r="S116" s="1871"/>
      <c r="T116" s="1871"/>
      <c r="U116" s="1871"/>
      <c r="V116" s="1871"/>
      <c r="W116" s="1871"/>
      <c r="X116" s="1871"/>
      <c r="Y116" s="1872">
        <f aca="true" t="shared" si="16" ref="Y116:Y124">SUM(I116:P116)</f>
        <v>6815000</v>
      </c>
      <c r="Z116" s="1873">
        <v>6564609.19</v>
      </c>
      <c r="AA116" s="1872">
        <f aca="true" t="shared" si="17" ref="AA116:AA124">SUM(J116:X116)</f>
        <v>250000</v>
      </c>
    </row>
    <row r="117" spans="1:27" s="1874" customFormat="1" ht="27" customHeight="1" hidden="1">
      <c r="A117" s="1867" t="s">
        <v>1530</v>
      </c>
      <c r="B117" s="1868" t="s">
        <v>1531</v>
      </c>
      <c r="C117" s="1869" t="s">
        <v>1318</v>
      </c>
      <c r="D117" s="1870">
        <v>2009</v>
      </c>
      <c r="E117" s="1870">
        <v>2021</v>
      </c>
      <c r="F117" s="1871">
        <v>0</v>
      </c>
      <c r="G117" s="1871"/>
      <c r="H117" s="1871"/>
      <c r="I117" s="1871">
        <v>0</v>
      </c>
      <c r="J117" s="1871">
        <v>0</v>
      </c>
      <c r="K117" s="1871">
        <v>0</v>
      </c>
      <c r="L117" s="1871">
        <v>0</v>
      </c>
      <c r="M117" s="1871">
        <v>0</v>
      </c>
      <c r="N117" s="1871">
        <v>0</v>
      </c>
      <c r="O117" s="1871">
        <v>0</v>
      </c>
      <c r="P117" s="1871">
        <v>0</v>
      </c>
      <c r="Q117" s="1871"/>
      <c r="R117" s="1871"/>
      <c r="S117" s="1871"/>
      <c r="T117" s="1871"/>
      <c r="U117" s="1871"/>
      <c r="V117" s="1871"/>
      <c r="W117" s="1871"/>
      <c r="X117" s="1871"/>
      <c r="Y117" s="1872">
        <f t="shared" si="16"/>
        <v>0</v>
      </c>
      <c r="Z117" s="1873">
        <f>SUM(J117:Q117)</f>
        <v>0</v>
      </c>
      <c r="AA117" s="1872">
        <f t="shared" si="17"/>
        <v>0</v>
      </c>
    </row>
    <row r="118" spans="1:27" s="1874" customFormat="1" ht="29.25" customHeight="1">
      <c r="A118" s="1867" t="s">
        <v>1532</v>
      </c>
      <c r="B118" s="1868" t="s">
        <v>1533</v>
      </c>
      <c r="C118" s="1869" t="s">
        <v>1318</v>
      </c>
      <c r="D118" s="1870">
        <v>2012</v>
      </c>
      <c r="E118" s="1870">
        <v>2014</v>
      </c>
      <c r="F118" s="1871">
        <v>2512000</v>
      </c>
      <c r="G118" s="1871"/>
      <c r="H118" s="1871"/>
      <c r="I118" s="1871">
        <v>850000</v>
      </c>
      <c r="J118" s="1871">
        <v>1650000</v>
      </c>
      <c r="K118" s="1871">
        <v>0</v>
      </c>
      <c r="L118" s="1871">
        <v>0</v>
      </c>
      <c r="M118" s="1871">
        <v>0</v>
      </c>
      <c r="N118" s="1871">
        <v>0</v>
      </c>
      <c r="O118" s="1871">
        <v>0</v>
      </c>
      <c r="P118" s="1871">
        <v>0</v>
      </c>
      <c r="Q118" s="1871"/>
      <c r="R118" s="1871"/>
      <c r="S118" s="1871"/>
      <c r="T118" s="1871"/>
      <c r="U118" s="1871"/>
      <c r="V118" s="1871"/>
      <c r="W118" s="1871"/>
      <c r="X118" s="1871"/>
      <c r="Y118" s="1872">
        <f t="shared" si="16"/>
        <v>2500000</v>
      </c>
      <c r="Z118" s="1873">
        <v>708764.69</v>
      </c>
      <c r="AA118" s="1872">
        <f t="shared" si="17"/>
        <v>1650000</v>
      </c>
    </row>
    <row r="119" spans="1:27" s="1874" customFormat="1" ht="29.25" customHeight="1">
      <c r="A119" s="1867" t="s">
        <v>1534</v>
      </c>
      <c r="B119" s="1868" t="s">
        <v>1535</v>
      </c>
      <c r="C119" s="1869" t="s">
        <v>1318</v>
      </c>
      <c r="D119" s="1870">
        <v>2011</v>
      </c>
      <c r="E119" s="1870">
        <v>2018</v>
      </c>
      <c r="F119" s="1871">
        <v>20188000</v>
      </c>
      <c r="G119" s="1871"/>
      <c r="H119" s="1871"/>
      <c r="I119" s="1871">
        <v>0</v>
      </c>
      <c r="J119" s="1871">
        <v>16000</v>
      </c>
      <c r="K119" s="1871">
        <v>3020000</v>
      </c>
      <c r="L119" s="1871">
        <v>4900000</v>
      </c>
      <c r="M119" s="1871">
        <v>4800000</v>
      </c>
      <c r="N119" s="1871">
        <v>4800000</v>
      </c>
      <c r="O119" s="1871">
        <v>0</v>
      </c>
      <c r="P119" s="1871">
        <v>0</v>
      </c>
      <c r="Q119" s="1871"/>
      <c r="R119" s="1871"/>
      <c r="S119" s="1871"/>
      <c r="T119" s="1871"/>
      <c r="U119" s="1871"/>
      <c r="V119" s="1871"/>
      <c r="W119" s="1871"/>
      <c r="X119" s="1871"/>
      <c r="Y119" s="1872">
        <f t="shared" si="16"/>
        <v>17536000</v>
      </c>
      <c r="Z119" s="1873">
        <v>0</v>
      </c>
      <c r="AA119" s="1872">
        <f t="shared" si="17"/>
        <v>17536000</v>
      </c>
    </row>
    <row r="120" spans="1:27" s="1874" customFormat="1" ht="27" customHeight="1">
      <c r="A120" s="1867" t="s">
        <v>1536</v>
      </c>
      <c r="B120" s="1868" t="s">
        <v>1537</v>
      </c>
      <c r="C120" s="1869" t="s">
        <v>1318</v>
      </c>
      <c r="D120" s="1870">
        <v>2000</v>
      </c>
      <c r="E120" s="1870">
        <v>2015</v>
      </c>
      <c r="F120" s="1871">
        <v>6140000</v>
      </c>
      <c r="G120" s="1871"/>
      <c r="H120" s="1871"/>
      <c r="I120" s="1871">
        <v>800000</v>
      </c>
      <c r="J120" s="1871">
        <v>3400000</v>
      </c>
      <c r="K120" s="1871">
        <v>1600000</v>
      </c>
      <c r="L120" s="1871">
        <v>0</v>
      </c>
      <c r="M120" s="1871">
        <v>0</v>
      </c>
      <c r="N120" s="1871">
        <v>0</v>
      </c>
      <c r="O120" s="1871">
        <v>0</v>
      </c>
      <c r="P120" s="1871">
        <v>0</v>
      </c>
      <c r="Q120" s="1871"/>
      <c r="R120" s="1871"/>
      <c r="S120" s="1871"/>
      <c r="T120" s="1871"/>
      <c r="U120" s="1871"/>
      <c r="V120" s="1871"/>
      <c r="W120" s="1871"/>
      <c r="X120" s="1871"/>
      <c r="Y120" s="1872">
        <f t="shared" si="16"/>
        <v>5800000</v>
      </c>
      <c r="Z120" s="1873">
        <v>465988.02</v>
      </c>
      <c r="AA120" s="1872">
        <f t="shared" si="17"/>
        <v>5000000</v>
      </c>
    </row>
    <row r="121" spans="1:27" s="1874" customFormat="1" ht="27" customHeight="1">
      <c r="A121" s="1899" t="s">
        <v>1538</v>
      </c>
      <c r="B121" s="1900" t="s">
        <v>1539</v>
      </c>
      <c r="C121" s="1901" t="s">
        <v>1318</v>
      </c>
      <c r="D121" s="1902">
        <v>2011</v>
      </c>
      <c r="E121" s="1902">
        <v>2014</v>
      </c>
      <c r="F121" s="1875">
        <v>1693000</v>
      </c>
      <c r="G121" s="1875"/>
      <c r="H121" s="1875"/>
      <c r="I121" s="1875">
        <v>234000</v>
      </c>
      <c r="J121" s="1875">
        <v>1459000</v>
      </c>
      <c r="K121" s="1875">
        <v>0</v>
      </c>
      <c r="L121" s="1875">
        <v>0</v>
      </c>
      <c r="M121" s="1875">
        <v>0</v>
      </c>
      <c r="N121" s="1875">
        <v>0</v>
      </c>
      <c r="O121" s="1875">
        <v>0</v>
      </c>
      <c r="P121" s="1875">
        <v>0</v>
      </c>
      <c r="Q121" s="1875"/>
      <c r="R121" s="1875"/>
      <c r="S121" s="1875"/>
      <c r="T121" s="1875"/>
      <c r="U121" s="1875"/>
      <c r="V121" s="1875"/>
      <c r="W121" s="1875"/>
      <c r="X121" s="1875"/>
      <c r="Y121" s="1872">
        <f t="shared" si="16"/>
        <v>1693000</v>
      </c>
      <c r="Z121" s="1873">
        <v>233362.24</v>
      </c>
      <c r="AA121" s="1872">
        <f t="shared" si="17"/>
        <v>1459000</v>
      </c>
    </row>
    <row r="122" spans="1:27" s="1874" customFormat="1" ht="45.75" customHeight="1">
      <c r="A122" s="1899" t="s">
        <v>1540</v>
      </c>
      <c r="B122" s="1900" t="s">
        <v>1541</v>
      </c>
      <c r="C122" s="1901" t="s">
        <v>1318</v>
      </c>
      <c r="D122" s="1902">
        <v>2013</v>
      </c>
      <c r="E122" s="1902">
        <v>2014</v>
      </c>
      <c r="F122" s="1875">
        <v>340000</v>
      </c>
      <c r="G122" s="1875"/>
      <c r="H122" s="1875"/>
      <c r="I122" s="1875">
        <v>170000</v>
      </c>
      <c r="J122" s="1875">
        <v>170000</v>
      </c>
      <c r="K122" s="1875">
        <v>0</v>
      </c>
      <c r="L122" s="1875">
        <v>0</v>
      </c>
      <c r="M122" s="1875">
        <v>0</v>
      </c>
      <c r="N122" s="1875">
        <v>0</v>
      </c>
      <c r="O122" s="1875">
        <v>0</v>
      </c>
      <c r="P122" s="1875">
        <v>0</v>
      </c>
      <c r="Q122" s="1875"/>
      <c r="R122" s="1875"/>
      <c r="S122" s="1875"/>
      <c r="T122" s="1875"/>
      <c r="U122" s="1875"/>
      <c r="V122" s="1875"/>
      <c r="W122" s="1875"/>
      <c r="X122" s="1875"/>
      <c r="Y122" s="1872">
        <f t="shared" si="16"/>
        <v>340000</v>
      </c>
      <c r="Z122" s="1873">
        <v>15252</v>
      </c>
      <c r="AA122" s="1872">
        <f t="shared" si="17"/>
        <v>170000</v>
      </c>
    </row>
    <row r="123" spans="1:27" s="1874" customFormat="1" ht="54" customHeight="1">
      <c r="A123" s="1899" t="s">
        <v>1542</v>
      </c>
      <c r="B123" s="1900" t="s">
        <v>1523</v>
      </c>
      <c r="C123" s="1901" t="s">
        <v>1318</v>
      </c>
      <c r="D123" s="1902">
        <v>2013</v>
      </c>
      <c r="E123" s="1902">
        <v>2017</v>
      </c>
      <c r="F123" s="1875">
        <v>375000</v>
      </c>
      <c r="G123" s="1875"/>
      <c r="H123" s="1875"/>
      <c r="I123" s="1875">
        <v>375000</v>
      </c>
      <c r="J123" s="1875">
        <v>0</v>
      </c>
      <c r="K123" s="1875">
        <v>0</v>
      </c>
      <c r="L123" s="1875">
        <v>0</v>
      </c>
      <c r="M123" s="1875">
        <v>0</v>
      </c>
      <c r="N123" s="1875">
        <v>0</v>
      </c>
      <c r="O123" s="1875">
        <v>0</v>
      </c>
      <c r="P123" s="1875">
        <v>0</v>
      </c>
      <c r="Q123" s="1875"/>
      <c r="R123" s="1875"/>
      <c r="S123" s="1875"/>
      <c r="T123" s="1875"/>
      <c r="U123" s="1875"/>
      <c r="V123" s="1875"/>
      <c r="W123" s="1875"/>
      <c r="X123" s="1875"/>
      <c r="Y123" s="1875">
        <f t="shared" si="16"/>
        <v>375000</v>
      </c>
      <c r="Z123" s="1892">
        <v>354009.29</v>
      </c>
      <c r="AA123" s="1872">
        <f t="shared" si="17"/>
        <v>0</v>
      </c>
    </row>
    <row r="124" spans="1:27" s="1874" customFormat="1" ht="51.75" customHeight="1">
      <c r="A124" s="1867" t="s">
        <v>1543</v>
      </c>
      <c r="B124" s="1868" t="s">
        <v>1544</v>
      </c>
      <c r="C124" s="1869" t="s">
        <v>684</v>
      </c>
      <c r="D124" s="1870">
        <v>2013</v>
      </c>
      <c r="E124" s="1870">
        <v>2014</v>
      </c>
      <c r="F124" s="1871">
        <v>631000</v>
      </c>
      <c r="G124" s="1871"/>
      <c r="H124" s="1871"/>
      <c r="I124" s="1871">
        <v>400000</v>
      </c>
      <c r="J124" s="1871">
        <v>231000</v>
      </c>
      <c r="K124" s="1871">
        <v>0</v>
      </c>
      <c r="L124" s="1871">
        <v>0</v>
      </c>
      <c r="M124" s="1871">
        <v>0</v>
      </c>
      <c r="N124" s="1871">
        <v>0</v>
      </c>
      <c r="O124" s="1871">
        <v>0</v>
      </c>
      <c r="P124" s="1871">
        <v>0</v>
      </c>
      <c r="Q124" s="1871"/>
      <c r="R124" s="1871"/>
      <c r="S124" s="1871"/>
      <c r="T124" s="1871"/>
      <c r="U124" s="1871"/>
      <c r="V124" s="1871"/>
      <c r="W124" s="1871"/>
      <c r="X124" s="1871"/>
      <c r="Y124" s="1872">
        <f t="shared" si="16"/>
        <v>631000</v>
      </c>
      <c r="Z124" s="1873">
        <v>0</v>
      </c>
      <c r="AA124" s="1872">
        <f t="shared" si="17"/>
        <v>231000</v>
      </c>
    </row>
    <row r="125" s="1903" customFormat="1" ht="57.75" customHeight="1"/>
    <row r="126" spans="1:27" s="1905" customFormat="1" ht="15.75">
      <c r="A126" s="2183"/>
      <c r="B126" s="2183"/>
      <c r="C126" s="2183"/>
      <c r="D126" s="2183"/>
      <c r="E126" s="2183"/>
      <c r="F126" s="2183"/>
      <c r="G126" s="2183"/>
      <c r="H126" s="2183"/>
      <c r="I126" s="2183"/>
      <c r="J126" s="2183"/>
      <c r="K126" s="1903"/>
      <c r="L126" s="1903"/>
      <c r="M126" s="1903"/>
      <c r="N126" s="1903"/>
      <c r="O126" s="1903"/>
      <c r="P126" s="1903"/>
      <c r="Q126" s="1903"/>
      <c r="R126" s="1903"/>
      <c r="S126" s="1903"/>
      <c r="T126" s="1903"/>
      <c r="U126" s="1903"/>
      <c r="V126" s="1903"/>
      <c r="W126" s="1903"/>
      <c r="X126" s="1903"/>
      <c r="Y126" s="1904"/>
      <c r="Z126" s="1904"/>
      <c r="AA126" s="1904"/>
    </row>
    <row r="127" spans="1:27" s="1905" customFormat="1" ht="12">
      <c r="A127" s="1906"/>
      <c r="B127" s="1907"/>
      <c r="Y127" s="1908"/>
      <c r="Z127" s="1908"/>
      <c r="AA127" s="1908"/>
    </row>
    <row r="128" spans="1:27" s="1905" customFormat="1" ht="12">
      <c r="A128" s="1906"/>
      <c r="B128" s="1907"/>
      <c r="Y128" s="1908"/>
      <c r="Z128" s="1908"/>
      <c r="AA128" s="1908"/>
    </row>
    <row r="129" spans="1:27" s="1905" customFormat="1" ht="12">
      <c r="A129" s="1906"/>
      <c r="B129" s="1907"/>
      <c r="Y129" s="1908"/>
      <c r="Z129" s="1908"/>
      <c r="AA129" s="1908"/>
    </row>
    <row r="130" spans="1:27" s="1905" customFormat="1" ht="12">
      <c r="A130" s="1906"/>
      <c r="B130" s="1907"/>
      <c r="Y130" s="1908"/>
      <c r="Z130" s="1908"/>
      <c r="AA130" s="1908"/>
    </row>
    <row r="131" spans="1:27" s="1905" customFormat="1" ht="12">
      <c r="A131" s="1906"/>
      <c r="B131" s="1907"/>
      <c r="Y131" s="1908"/>
      <c r="Z131" s="1908"/>
      <c r="AA131" s="1908"/>
    </row>
    <row r="132" spans="1:27" s="1905" customFormat="1" ht="12">
      <c r="A132" s="1906"/>
      <c r="B132" s="1907"/>
      <c r="Y132" s="1908"/>
      <c r="Z132" s="1908"/>
      <c r="AA132" s="1908"/>
    </row>
    <row r="133" spans="1:27" s="1905" customFormat="1" ht="12">
      <c r="A133" s="1906"/>
      <c r="B133" s="1907"/>
      <c r="Y133" s="1908"/>
      <c r="Z133" s="1908"/>
      <c r="AA133" s="1908"/>
    </row>
    <row r="134" spans="1:27" s="1905" customFormat="1" ht="12">
      <c r="A134" s="1906"/>
      <c r="B134" s="1907"/>
      <c r="Y134" s="1908"/>
      <c r="Z134" s="1908"/>
      <c r="AA134" s="1908"/>
    </row>
    <row r="135" spans="1:27" s="1905" customFormat="1" ht="12">
      <c r="A135" s="1906"/>
      <c r="B135" s="1907"/>
      <c r="Y135" s="1908"/>
      <c r="Z135" s="1908"/>
      <c r="AA135" s="1908"/>
    </row>
    <row r="136" spans="1:27" s="1905" customFormat="1" ht="12">
      <c r="A136" s="1906"/>
      <c r="B136" s="1907"/>
      <c r="Y136" s="1908"/>
      <c r="Z136" s="1908"/>
      <c r="AA136" s="1908"/>
    </row>
    <row r="137" spans="1:27" s="1905" customFormat="1" ht="12">
      <c r="A137" s="1906"/>
      <c r="B137" s="1907"/>
      <c r="Y137" s="1908"/>
      <c r="Z137" s="1908"/>
      <c r="AA137" s="1908"/>
    </row>
    <row r="138" spans="1:27" s="1905" customFormat="1" ht="12">
      <c r="A138" s="1906"/>
      <c r="B138" s="1907"/>
      <c r="Y138" s="1908"/>
      <c r="Z138" s="1908"/>
      <c r="AA138" s="1908"/>
    </row>
    <row r="139" spans="1:27" s="1905" customFormat="1" ht="12">
      <c r="A139" s="1906"/>
      <c r="B139" s="1907"/>
      <c r="Y139" s="1908"/>
      <c r="Z139" s="1908"/>
      <c r="AA139" s="1908"/>
    </row>
    <row r="140" spans="1:27" s="1905" customFormat="1" ht="12">
      <c r="A140" s="1906"/>
      <c r="B140" s="1907"/>
      <c r="Y140" s="1908"/>
      <c r="Z140" s="1908"/>
      <c r="AA140" s="1908"/>
    </row>
    <row r="141" spans="1:27" s="1905" customFormat="1" ht="12">
      <c r="A141" s="1906"/>
      <c r="B141" s="1907"/>
      <c r="Y141" s="1908"/>
      <c r="Z141" s="1908"/>
      <c r="AA141" s="1908"/>
    </row>
    <row r="142" spans="1:27" s="1905" customFormat="1" ht="12">
      <c r="A142" s="1906"/>
      <c r="B142" s="1907"/>
      <c r="Y142" s="1908"/>
      <c r="Z142" s="1908"/>
      <c r="AA142" s="1908"/>
    </row>
    <row r="143" spans="1:27" s="1905" customFormat="1" ht="12">
      <c r="A143" s="1906"/>
      <c r="B143" s="1907"/>
      <c r="Y143" s="1908"/>
      <c r="Z143" s="1908"/>
      <c r="AA143" s="1908"/>
    </row>
    <row r="144" spans="1:27" s="1905" customFormat="1" ht="12">
      <c r="A144" s="1906"/>
      <c r="B144" s="1907"/>
      <c r="Y144" s="1908"/>
      <c r="Z144" s="1908"/>
      <c r="AA144" s="1908"/>
    </row>
    <row r="145" spans="1:27" s="1905" customFormat="1" ht="12">
      <c r="A145" s="1906"/>
      <c r="B145" s="1907"/>
      <c r="Y145" s="1908"/>
      <c r="Z145" s="1908"/>
      <c r="AA145" s="1908"/>
    </row>
    <row r="146" spans="1:27" s="1905" customFormat="1" ht="12">
      <c r="A146" s="1906"/>
      <c r="B146" s="1907"/>
      <c r="Y146" s="1908"/>
      <c r="Z146" s="1908"/>
      <c r="AA146" s="1908"/>
    </row>
    <row r="147" spans="1:27" s="1905" customFormat="1" ht="12">
      <c r="A147" s="1906"/>
      <c r="B147" s="1907"/>
      <c r="Y147" s="1908"/>
      <c r="Z147" s="1908"/>
      <c r="AA147" s="1908"/>
    </row>
    <row r="148" spans="1:27" s="1905" customFormat="1" ht="12">
      <c r="A148" s="1906"/>
      <c r="B148" s="1907"/>
      <c r="Y148" s="1908"/>
      <c r="Z148" s="1908"/>
      <c r="AA148" s="1908"/>
    </row>
    <row r="149" spans="1:27" s="1905" customFormat="1" ht="12">
      <c r="A149" s="1906"/>
      <c r="B149" s="1907"/>
      <c r="Y149" s="1908"/>
      <c r="Z149" s="1908"/>
      <c r="AA149" s="1908"/>
    </row>
    <row r="150" spans="1:27" s="1905" customFormat="1" ht="12">
      <c r="A150" s="1906"/>
      <c r="B150" s="1907"/>
      <c r="Y150" s="1908"/>
      <c r="Z150" s="1908"/>
      <c r="AA150" s="1908"/>
    </row>
    <row r="151" spans="1:27" s="1905" customFormat="1" ht="12">
      <c r="A151" s="1906"/>
      <c r="B151" s="1907"/>
      <c r="Y151" s="1908"/>
      <c r="Z151" s="1908"/>
      <c r="AA151" s="1908"/>
    </row>
    <row r="152" spans="1:27" s="1905" customFormat="1" ht="12">
      <c r="A152" s="1906"/>
      <c r="B152" s="1907"/>
      <c r="Y152" s="1908"/>
      <c r="Z152" s="1908"/>
      <c r="AA152" s="1908"/>
    </row>
    <row r="153" spans="1:27" s="1905" customFormat="1" ht="12">
      <c r="A153" s="1906"/>
      <c r="B153" s="1907"/>
      <c r="Y153" s="1908"/>
      <c r="Z153" s="1908"/>
      <c r="AA153" s="1908"/>
    </row>
    <row r="154" spans="1:27" s="1905" customFormat="1" ht="12">
      <c r="A154" s="1906"/>
      <c r="B154" s="1907"/>
      <c r="Y154" s="1908"/>
      <c r="Z154" s="1908"/>
      <c r="AA154" s="1908"/>
    </row>
    <row r="155" spans="1:27" s="1905" customFormat="1" ht="12">
      <c r="A155" s="1906"/>
      <c r="B155" s="1907"/>
      <c r="Y155" s="1908"/>
      <c r="Z155" s="1908"/>
      <c r="AA155" s="1908"/>
    </row>
    <row r="156" spans="1:27" s="1905" customFormat="1" ht="12">
      <c r="A156" s="1906"/>
      <c r="B156" s="1907"/>
      <c r="Y156" s="1908"/>
      <c r="Z156" s="1908"/>
      <c r="AA156" s="1908"/>
    </row>
    <row r="157" spans="1:27" s="1905" customFormat="1" ht="12">
      <c r="A157" s="1906"/>
      <c r="B157" s="1907"/>
      <c r="Y157" s="1908"/>
      <c r="Z157" s="1908"/>
      <c r="AA157" s="1908"/>
    </row>
    <row r="158" spans="1:27" s="1905" customFormat="1" ht="12">
      <c r="A158" s="1906"/>
      <c r="B158" s="1907"/>
      <c r="Y158" s="1908"/>
      <c r="Z158" s="1908"/>
      <c r="AA158" s="1908"/>
    </row>
    <row r="159" spans="1:27" s="1905" customFormat="1" ht="12">
      <c r="A159" s="1906"/>
      <c r="B159" s="1907"/>
      <c r="Y159" s="1908"/>
      <c r="Z159" s="1908"/>
      <c r="AA159" s="1908"/>
    </row>
    <row r="160" spans="1:27" s="1905" customFormat="1" ht="12">
      <c r="A160" s="1906"/>
      <c r="B160" s="1907"/>
      <c r="Y160" s="1908"/>
      <c r="Z160" s="1908"/>
      <c r="AA160" s="1908"/>
    </row>
    <row r="161" spans="1:27" s="1905" customFormat="1" ht="12">
      <c r="A161" s="1906"/>
      <c r="B161" s="1907"/>
      <c r="Y161" s="1908"/>
      <c r="Z161" s="1908"/>
      <c r="AA161" s="1908"/>
    </row>
    <row r="162" spans="1:27" s="1905" customFormat="1" ht="12">
      <c r="A162" s="1906"/>
      <c r="B162" s="1907"/>
      <c r="Y162" s="1908"/>
      <c r="Z162" s="1908"/>
      <c r="AA162" s="1908"/>
    </row>
    <row r="163" spans="1:27" s="1905" customFormat="1" ht="12">
      <c r="A163" s="1906"/>
      <c r="B163" s="1907"/>
      <c r="Y163" s="1908"/>
      <c r="Z163" s="1908"/>
      <c r="AA163" s="1908"/>
    </row>
    <row r="164" spans="1:27" s="1905" customFormat="1" ht="12">
      <c r="A164" s="1906"/>
      <c r="B164" s="1907"/>
      <c r="Y164" s="1908"/>
      <c r="Z164" s="1908"/>
      <c r="AA164" s="1908"/>
    </row>
    <row r="165" spans="1:27" s="1905" customFormat="1" ht="12">
      <c r="A165" s="1906"/>
      <c r="B165" s="1907"/>
      <c r="Y165" s="1908"/>
      <c r="Z165" s="1908"/>
      <c r="AA165" s="1908"/>
    </row>
    <row r="166" spans="1:27" s="1905" customFormat="1" ht="12">
      <c r="A166" s="1906"/>
      <c r="B166" s="1907"/>
      <c r="Y166" s="1908"/>
      <c r="Z166" s="1908"/>
      <c r="AA166" s="1908"/>
    </row>
    <row r="167" spans="1:27" s="1905" customFormat="1" ht="12">
      <c r="A167" s="1906"/>
      <c r="B167" s="1907"/>
      <c r="Y167" s="1908"/>
      <c r="Z167" s="1908"/>
      <c r="AA167" s="1908"/>
    </row>
    <row r="168" spans="1:27" s="1905" customFormat="1" ht="12">
      <c r="A168" s="1906"/>
      <c r="B168" s="1907"/>
      <c r="Y168" s="1908"/>
      <c r="Z168" s="1908"/>
      <c r="AA168" s="1908"/>
    </row>
    <row r="169" spans="1:27" s="1905" customFormat="1" ht="12">
      <c r="A169" s="1906"/>
      <c r="B169" s="1907"/>
      <c r="Y169" s="1908"/>
      <c r="Z169" s="1908"/>
      <c r="AA169" s="1908"/>
    </row>
    <row r="170" spans="1:27" s="1905" customFormat="1" ht="12">
      <c r="A170" s="1906"/>
      <c r="B170" s="1907"/>
      <c r="Y170" s="1908"/>
      <c r="Z170" s="1908"/>
      <c r="AA170" s="1908"/>
    </row>
    <row r="171" spans="1:27" s="1905" customFormat="1" ht="12">
      <c r="A171" s="1906"/>
      <c r="B171" s="1907"/>
      <c r="Y171" s="1908"/>
      <c r="Z171" s="1908"/>
      <c r="AA171" s="1908"/>
    </row>
    <row r="172" spans="1:27" s="1905" customFormat="1" ht="12">
      <c r="A172" s="1906"/>
      <c r="B172" s="1907"/>
      <c r="Y172" s="1908"/>
      <c r="Z172" s="1908"/>
      <c r="AA172" s="1908"/>
    </row>
    <row r="173" spans="1:27" s="1905" customFormat="1" ht="12">
      <c r="A173" s="1906"/>
      <c r="B173" s="1907"/>
      <c r="Y173" s="1908"/>
      <c r="Z173" s="1908"/>
      <c r="AA173" s="1908"/>
    </row>
    <row r="174" spans="1:27" s="1905" customFormat="1" ht="12">
      <c r="A174" s="1906"/>
      <c r="B174" s="1907"/>
      <c r="Y174" s="1908"/>
      <c r="Z174" s="1908"/>
      <c r="AA174" s="1908"/>
    </row>
    <row r="175" spans="1:27" s="1905" customFormat="1" ht="12">
      <c r="A175" s="1906"/>
      <c r="B175" s="1907"/>
      <c r="Y175" s="1908"/>
      <c r="Z175" s="1908"/>
      <c r="AA175" s="1908"/>
    </row>
    <row r="176" spans="1:27" s="1905" customFormat="1" ht="12">
      <c r="A176" s="1906"/>
      <c r="B176" s="1907"/>
      <c r="Y176" s="1908"/>
      <c r="Z176" s="1908"/>
      <c r="AA176" s="1908"/>
    </row>
    <row r="177" spans="1:27" s="1905" customFormat="1" ht="12">
      <c r="A177" s="1906"/>
      <c r="B177" s="1907"/>
      <c r="Y177" s="1908"/>
      <c r="Z177" s="1908"/>
      <c r="AA177" s="1908"/>
    </row>
    <row r="178" spans="1:27" s="1905" customFormat="1" ht="12">
      <c r="A178" s="1906"/>
      <c r="B178" s="1907"/>
      <c r="Y178" s="1908"/>
      <c r="Z178" s="1908"/>
      <c r="AA178" s="1908"/>
    </row>
    <row r="179" spans="1:27" s="1905" customFormat="1" ht="12">
      <c r="A179" s="1906"/>
      <c r="B179" s="1907"/>
      <c r="Y179" s="1908"/>
      <c r="Z179" s="1908"/>
      <c r="AA179" s="1908"/>
    </row>
    <row r="180" spans="1:27" s="1905" customFormat="1" ht="12">
      <c r="A180" s="1906"/>
      <c r="B180" s="1907"/>
      <c r="Y180" s="1908"/>
      <c r="Z180" s="1908"/>
      <c r="AA180" s="1908"/>
    </row>
    <row r="181" spans="1:27" s="1905" customFormat="1" ht="12">
      <c r="A181" s="1906"/>
      <c r="B181" s="1907"/>
      <c r="Y181" s="1908"/>
      <c r="Z181" s="1908"/>
      <c r="AA181" s="1908"/>
    </row>
    <row r="182" spans="1:27" s="1905" customFormat="1" ht="12">
      <c r="A182" s="1906"/>
      <c r="B182" s="1907"/>
      <c r="Y182" s="1908"/>
      <c r="Z182" s="1908"/>
      <c r="AA182" s="1908"/>
    </row>
    <row r="183" spans="1:27" s="1905" customFormat="1" ht="12">
      <c r="A183" s="1906"/>
      <c r="B183" s="1907"/>
      <c r="Y183" s="1908"/>
      <c r="Z183" s="1908"/>
      <c r="AA183" s="1908"/>
    </row>
    <row r="184" spans="1:27" s="1905" customFormat="1" ht="12">
      <c r="A184" s="1906"/>
      <c r="B184" s="1907"/>
      <c r="Y184" s="1908"/>
      <c r="Z184" s="1908"/>
      <c r="AA184" s="1908"/>
    </row>
    <row r="185" spans="1:27" s="1905" customFormat="1" ht="12">
      <c r="A185" s="1906"/>
      <c r="B185" s="1907"/>
      <c r="Y185" s="1908"/>
      <c r="Z185" s="1908"/>
      <c r="AA185" s="1908"/>
    </row>
    <row r="186" spans="1:27" s="1905" customFormat="1" ht="12">
      <c r="A186" s="1906"/>
      <c r="B186" s="1907"/>
      <c r="Y186" s="1908"/>
      <c r="Z186" s="1908"/>
      <c r="AA186" s="1908"/>
    </row>
    <row r="187" spans="1:27" s="1905" customFormat="1" ht="12">
      <c r="A187" s="1906"/>
      <c r="B187" s="1907"/>
      <c r="Y187" s="1908"/>
      <c r="Z187" s="1908"/>
      <c r="AA187" s="1908"/>
    </row>
    <row r="188" spans="1:27" s="1905" customFormat="1" ht="12">
      <c r="A188" s="1906"/>
      <c r="B188" s="1907"/>
      <c r="Y188" s="1908"/>
      <c r="Z188" s="1908"/>
      <c r="AA188" s="1908"/>
    </row>
    <row r="189" spans="1:27" s="1905" customFormat="1" ht="12">
      <c r="A189" s="1906"/>
      <c r="B189" s="1907"/>
      <c r="Y189" s="1908"/>
      <c r="Z189" s="1908"/>
      <c r="AA189" s="1908"/>
    </row>
    <row r="190" spans="1:27" s="1905" customFormat="1" ht="12">
      <c r="A190" s="1906"/>
      <c r="B190" s="1907"/>
      <c r="Y190" s="1908"/>
      <c r="Z190" s="1908"/>
      <c r="AA190" s="1908"/>
    </row>
    <row r="191" spans="1:27" s="1905" customFormat="1" ht="12">
      <c r="A191" s="1906"/>
      <c r="B191" s="1907"/>
      <c r="Y191" s="1908"/>
      <c r="Z191" s="1908"/>
      <c r="AA191" s="1908"/>
    </row>
    <row r="192" spans="1:27" s="1905" customFormat="1" ht="12">
      <c r="A192" s="1906"/>
      <c r="B192" s="1907"/>
      <c r="Y192" s="1908"/>
      <c r="Z192" s="1908"/>
      <c r="AA192" s="1908"/>
    </row>
    <row r="193" spans="1:27" s="1905" customFormat="1" ht="12">
      <c r="A193" s="1906"/>
      <c r="B193" s="1907"/>
      <c r="Y193" s="1908"/>
      <c r="Z193" s="1908"/>
      <c r="AA193" s="1908"/>
    </row>
    <row r="194" spans="1:27" s="1905" customFormat="1" ht="12">
      <c r="A194" s="1906"/>
      <c r="B194" s="1907"/>
      <c r="Y194" s="1908"/>
      <c r="Z194" s="1908"/>
      <c r="AA194" s="1908"/>
    </row>
    <row r="195" spans="1:27" s="1905" customFormat="1" ht="12">
      <c r="A195" s="1906"/>
      <c r="B195" s="1907"/>
      <c r="Y195" s="1908"/>
      <c r="Z195" s="1908"/>
      <c r="AA195" s="1908"/>
    </row>
    <row r="196" spans="1:27" s="1905" customFormat="1" ht="12">
      <c r="A196" s="1906"/>
      <c r="B196" s="1907"/>
      <c r="Y196" s="1908"/>
      <c r="Z196" s="1908"/>
      <c r="AA196" s="1908"/>
    </row>
    <row r="197" spans="1:27" s="1905" customFormat="1" ht="12">
      <c r="A197" s="1906"/>
      <c r="B197" s="1907"/>
      <c r="Y197" s="1908"/>
      <c r="Z197" s="1908"/>
      <c r="AA197" s="1908"/>
    </row>
    <row r="198" spans="1:27" s="1905" customFormat="1" ht="12">
      <c r="A198" s="1906"/>
      <c r="B198" s="1907"/>
      <c r="Y198" s="1908"/>
      <c r="Z198" s="1908"/>
      <c r="AA198" s="1908"/>
    </row>
    <row r="199" spans="1:27" s="1905" customFormat="1" ht="12">
      <c r="A199" s="1906"/>
      <c r="B199" s="1907"/>
      <c r="Y199" s="1908"/>
      <c r="Z199" s="1908"/>
      <c r="AA199" s="1908"/>
    </row>
    <row r="200" spans="1:27" s="1905" customFormat="1" ht="12">
      <c r="A200" s="1906"/>
      <c r="B200" s="1907"/>
      <c r="Y200" s="1908"/>
      <c r="Z200" s="1908"/>
      <c r="AA200" s="1908"/>
    </row>
    <row r="201" spans="1:27" s="1905" customFormat="1" ht="12">
      <c r="A201" s="1906"/>
      <c r="B201" s="1907"/>
      <c r="Y201" s="1908"/>
      <c r="Z201" s="1908"/>
      <c r="AA201" s="1908"/>
    </row>
    <row r="202" spans="1:27" s="1905" customFormat="1" ht="12">
      <c r="A202" s="1906"/>
      <c r="B202" s="1907"/>
      <c r="Y202" s="1908"/>
      <c r="Z202" s="1908"/>
      <c r="AA202" s="1908"/>
    </row>
    <row r="203" spans="1:27" s="1905" customFormat="1" ht="12">
      <c r="A203" s="1906"/>
      <c r="B203" s="1907"/>
      <c r="Y203" s="1908"/>
      <c r="Z203" s="1908"/>
      <c r="AA203" s="1908"/>
    </row>
    <row r="204" spans="1:27" s="1905" customFormat="1" ht="12">
      <c r="A204" s="1906"/>
      <c r="B204" s="1907"/>
      <c r="Y204" s="1908"/>
      <c r="Z204" s="1908"/>
      <c r="AA204" s="1908"/>
    </row>
    <row r="205" spans="1:27" s="1905" customFormat="1" ht="12">
      <c r="A205" s="1906"/>
      <c r="B205" s="1907"/>
      <c r="Y205" s="1908"/>
      <c r="Z205" s="1908"/>
      <c r="AA205" s="1908"/>
    </row>
    <row r="206" spans="1:27" s="1905" customFormat="1" ht="12">
      <c r="A206" s="1906"/>
      <c r="B206" s="1907"/>
      <c r="Y206" s="1908"/>
      <c r="Z206" s="1908"/>
      <c r="AA206" s="1908"/>
    </row>
    <row r="207" spans="1:27" s="1905" customFormat="1" ht="12">
      <c r="A207" s="1906"/>
      <c r="B207" s="1907"/>
      <c r="Y207" s="1908"/>
      <c r="Z207" s="1908"/>
      <c r="AA207" s="1908"/>
    </row>
    <row r="208" spans="1:27" s="1905" customFormat="1" ht="12">
      <c r="A208" s="1906"/>
      <c r="B208" s="1907"/>
      <c r="Y208" s="1908"/>
      <c r="Z208" s="1908"/>
      <c r="AA208" s="1908"/>
    </row>
    <row r="209" spans="1:27" s="1905" customFormat="1" ht="12">
      <c r="A209" s="1906"/>
      <c r="B209" s="1907"/>
      <c r="Y209" s="1908"/>
      <c r="Z209" s="1908"/>
      <c r="AA209" s="1908"/>
    </row>
    <row r="210" spans="1:27" s="1905" customFormat="1" ht="12">
      <c r="A210" s="1906"/>
      <c r="B210" s="1907"/>
      <c r="Y210" s="1908"/>
      <c r="Z210" s="1908"/>
      <c r="AA210" s="1908"/>
    </row>
    <row r="211" spans="1:27" s="1905" customFormat="1" ht="12">
      <c r="A211" s="1906"/>
      <c r="B211" s="1907"/>
      <c r="Y211" s="1908"/>
      <c r="Z211" s="1908"/>
      <c r="AA211" s="1908"/>
    </row>
    <row r="212" spans="1:27" s="1905" customFormat="1" ht="12">
      <c r="A212" s="1906"/>
      <c r="B212" s="1907"/>
      <c r="Y212" s="1908"/>
      <c r="Z212" s="1908"/>
      <c r="AA212" s="1908"/>
    </row>
    <row r="213" spans="1:27" s="1905" customFormat="1" ht="12">
      <c r="A213" s="1906"/>
      <c r="B213" s="1907"/>
      <c r="Y213" s="1908"/>
      <c r="Z213" s="1908"/>
      <c r="AA213" s="1908"/>
    </row>
    <row r="214" spans="1:27" s="1905" customFormat="1" ht="12">
      <c r="A214" s="1906"/>
      <c r="B214" s="1907"/>
      <c r="Y214" s="1908"/>
      <c r="Z214" s="1908"/>
      <c r="AA214" s="1908"/>
    </row>
    <row r="215" spans="1:27" s="1905" customFormat="1" ht="12">
      <c r="A215" s="1906"/>
      <c r="B215" s="1907"/>
      <c r="Y215" s="1908"/>
      <c r="Z215" s="1908"/>
      <c r="AA215" s="1908"/>
    </row>
    <row r="216" spans="1:27" s="1905" customFormat="1" ht="12">
      <c r="A216" s="1906"/>
      <c r="B216" s="1907"/>
      <c r="Y216" s="1908"/>
      <c r="Z216" s="1908"/>
      <c r="AA216" s="1908"/>
    </row>
    <row r="217" spans="1:27" s="1905" customFormat="1" ht="12">
      <c r="A217" s="1906"/>
      <c r="B217" s="1907"/>
      <c r="Y217" s="1908"/>
      <c r="Z217" s="1908"/>
      <c r="AA217" s="1908"/>
    </row>
    <row r="218" spans="1:27" s="1905" customFormat="1" ht="12">
      <c r="A218" s="1906"/>
      <c r="B218" s="1907"/>
      <c r="Y218" s="1908"/>
      <c r="Z218" s="1908"/>
      <c r="AA218" s="1908"/>
    </row>
    <row r="219" spans="1:27" s="1905" customFormat="1" ht="12">
      <c r="A219" s="1906"/>
      <c r="B219" s="1907"/>
      <c r="Y219" s="1908"/>
      <c r="Z219" s="1908"/>
      <c r="AA219" s="1908"/>
    </row>
    <row r="220" spans="1:27" s="1905" customFormat="1" ht="12">
      <c r="A220" s="1906"/>
      <c r="B220" s="1907"/>
      <c r="Y220" s="1908"/>
      <c r="Z220" s="1908"/>
      <c r="AA220" s="1908"/>
    </row>
    <row r="221" spans="1:27" s="1905" customFormat="1" ht="12">
      <c r="A221" s="1906"/>
      <c r="B221" s="1907"/>
      <c r="Y221" s="1908"/>
      <c r="Z221" s="1908"/>
      <c r="AA221" s="1908"/>
    </row>
    <row r="222" spans="1:27" s="1905" customFormat="1" ht="12">
      <c r="A222" s="1906"/>
      <c r="B222" s="1907"/>
      <c r="Y222" s="1908"/>
      <c r="Z222" s="1908"/>
      <c r="AA222" s="1908"/>
    </row>
    <row r="223" spans="1:27" s="1905" customFormat="1" ht="12">
      <c r="A223" s="1906"/>
      <c r="B223" s="1907"/>
      <c r="Y223" s="1908"/>
      <c r="Z223" s="1908"/>
      <c r="AA223" s="1908"/>
    </row>
    <row r="224" spans="1:27" s="1905" customFormat="1" ht="12">
      <c r="A224" s="1906"/>
      <c r="B224" s="1907"/>
      <c r="Y224" s="1908"/>
      <c r="Z224" s="1908"/>
      <c r="AA224" s="1908"/>
    </row>
    <row r="225" spans="1:27" s="1905" customFormat="1" ht="12">
      <c r="A225" s="1906"/>
      <c r="B225" s="1907"/>
      <c r="Y225" s="1908"/>
      <c r="Z225" s="1908"/>
      <c r="AA225" s="1908"/>
    </row>
    <row r="226" spans="1:27" s="1905" customFormat="1" ht="12">
      <c r="A226" s="1906"/>
      <c r="B226" s="1907"/>
      <c r="Y226" s="1908"/>
      <c r="Z226" s="1908"/>
      <c r="AA226" s="1908"/>
    </row>
    <row r="227" spans="1:27" s="1905" customFormat="1" ht="12">
      <c r="A227" s="1906"/>
      <c r="B227" s="1907"/>
      <c r="Y227" s="1908"/>
      <c r="Z227" s="1908"/>
      <c r="AA227" s="1908"/>
    </row>
    <row r="228" spans="1:27" s="1905" customFormat="1" ht="12">
      <c r="A228" s="1906"/>
      <c r="B228" s="1907"/>
      <c r="Y228" s="1908"/>
      <c r="Z228" s="1908"/>
      <c r="AA228" s="1908"/>
    </row>
    <row r="229" spans="1:27" s="1905" customFormat="1" ht="12">
      <c r="A229" s="1906"/>
      <c r="B229" s="1907"/>
      <c r="Y229" s="1908"/>
      <c r="Z229" s="1908"/>
      <c r="AA229" s="1908"/>
    </row>
    <row r="230" spans="1:27" s="1905" customFormat="1" ht="12">
      <c r="A230" s="1906"/>
      <c r="B230" s="1907"/>
      <c r="Y230" s="1908"/>
      <c r="Z230" s="1908"/>
      <c r="AA230" s="1908"/>
    </row>
    <row r="231" spans="1:27" s="1905" customFormat="1" ht="12">
      <c r="A231" s="1906"/>
      <c r="B231" s="1907"/>
      <c r="Y231" s="1908"/>
      <c r="Z231" s="1908"/>
      <c r="AA231" s="1908"/>
    </row>
    <row r="232" spans="1:27" s="1905" customFormat="1" ht="12">
      <c r="A232" s="1906"/>
      <c r="B232" s="1907"/>
      <c r="Y232" s="1908"/>
      <c r="Z232" s="1908"/>
      <c r="AA232" s="1908"/>
    </row>
    <row r="233" spans="1:27" s="1905" customFormat="1" ht="12">
      <c r="A233" s="1906"/>
      <c r="B233" s="1907"/>
      <c r="Y233" s="1908"/>
      <c r="Z233" s="1908"/>
      <c r="AA233" s="1908"/>
    </row>
    <row r="234" spans="1:27" s="1905" customFormat="1" ht="12">
      <c r="A234" s="1906"/>
      <c r="B234" s="1907"/>
      <c r="Y234" s="1908"/>
      <c r="Z234" s="1908"/>
      <c r="AA234" s="1908"/>
    </row>
    <row r="235" spans="1:27" s="1905" customFormat="1" ht="12">
      <c r="A235" s="1906"/>
      <c r="B235" s="1907"/>
      <c r="Y235" s="1908"/>
      <c r="Z235" s="1908"/>
      <c r="AA235" s="1908"/>
    </row>
    <row r="236" spans="1:27" s="1905" customFormat="1" ht="12">
      <c r="A236" s="1906"/>
      <c r="B236" s="1907"/>
      <c r="Y236" s="1908"/>
      <c r="Z236" s="1908"/>
      <c r="AA236" s="1908"/>
    </row>
    <row r="237" spans="1:27" s="1905" customFormat="1" ht="12">
      <c r="A237" s="1906"/>
      <c r="B237" s="1907"/>
      <c r="Y237" s="1908"/>
      <c r="Z237" s="1908"/>
      <c r="AA237" s="1908"/>
    </row>
    <row r="238" spans="1:27" s="1905" customFormat="1" ht="12">
      <c r="A238" s="1906"/>
      <c r="B238" s="1907"/>
      <c r="Y238" s="1908"/>
      <c r="Z238" s="1908"/>
      <c r="AA238" s="1908"/>
    </row>
    <row r="239" spans="1:27" s="1905" customFormat="1" ht="12">
      <c r="A239" s="1906"/>
      <c r="B239" s="1907"/>
      <c r="Y239" s="1908"/>
      <c r="Z239" s="1908"/>
      <c r="AA239" s="1908"/>
    </row>
    <row r="240" spans="1:27" s="1905" customFormat="1" ht="12">
      <c r="A240" s="1906"/>
      <c r="B240" s="1907"/>
      <c r="Y240" s="1908"/>
      <c r="Z240" s="1908"/>
      <c r="AA240" s="1908"/>
    </row>
    <row r="241" spans="1:27" s="1905" customFormat="1" ht="12">
      <c r="A241" s="1906"/>
      <c r="B241" s="1907"/>
      <c r="Y241" s="1908"/>
      <c r="Z241" s="1908"/>
      <c r="AA241" s="1908"/>
    </row>
    <row r="242" spans="1:27" s="1905" customFormat="1" ht="12">
      <c r="A242" s="1906"/>
      <c r="B242" s="1907"/>
      <c r="Y242" s="1908"/>
      <c r="Z242" s="1908"/>
      <c r="AA242" s="1908"/>
    </row>
    <row r="243" spans="1:27" s="1905" customFormat="1" ht="12">
      <c r="A243" s="1906"/>
      <c r="B243" s="1907"/>
      <c r="Y243" s="1908"/>
      <c r="Z243" s="1908"/>
      <c r="AA243" s="1908"/>
    </row>
    <row r="244" spans="1:27" s="1905" customFormat="1" ht="12">
      <c r="A244" s="1906"/>
      <c r="B244" s="1907"/>
      <c r="Y244" s="1908"/>
      <c r="Z244" s="1908"/>
      <c r="AA244" s="1908"/>
    </row>
    <row r="245" spans="1:27" s="1905" customFormat="1" ht="12">
      <c r="A245" s="1906"/>
      <c r="B245" s="1907"/>
      <c r="Y245" s="1908"/>
      <c r="Z245" s="1908"/>
      <c r="AA245" s="1908"/>
    </row>
    <row r="246" spans="1:27" s="1905" customFormat="1" ht="12">
      <c r="A246" s="1906"/>
      <c r="B246" s="1907"/>
      <c r="Y246" s="1908"/>
      <c r="Z246" s="1908"/>
      <c r="AA246" s="1908"/>
    </row>
    <row r="247" spans="1:27" s="1905" customFormat="1" ht="12">
      <c r="A247" s="1906"/>
      <c r="B247" s="1907"/>
      <c r="Y247" s="1908"/>
      <c r="Z247" s="1908"/>
      <c r="AA247" s="1908"/>
    </row>
    <row r="248" spans="1:27" s="1905" customFormat="1" ht="12">
      <c r="A248" s="1906"/>
      <c r="B248" s="1907"/>
      <c r="Y248" s="1908"/>
      <c r="Z248" s="1908"/>
      <c r="AA248" s="1908"/>
    </row>
    <row r="249" spans="1:27" s="1905" customFormat="1" ht="12">
      <c r="A249" s="1906"/>
      <c r="B249" s="1907"/>
      <c r="Y249" s="1908"/>
      <c r="Z249" s="1908"/>
      <c r="AA249" s="1908"/>
    </row>
    <row r="250" spans="1:27" s="1905" customFormat="1" ht="12">
      <c r="A250" s="1906"/>
      <c r="B250" s="1907"/>
      <c r="Y250" s="1908"/>
      <c r="Z250" s="1908"/>
      <c r="AA250" s="1908"/>
    </row>
    <row r="251" spans="1:27" s="1905" customFormat="1" ht="12">
      <c r="A251" s="1906"/>
      <c r="B251" s="1907"/>
      <c r="Y251" s="1908"/>
      <c r="Z251" s="1908"/>
      <c r="AA251" s="1908"/>
    </row>
    <row r="252" spans="1:27" s="1905" customFormat="1" ht="12">
      <c r="A252" s="1906"/>
      <c r="B252" s="1907"/>
      <c r="Y252" s="1908"/>
      <c r="Z252" s="1908"/>
      <c r="AA252" s="1908"/>
    </row>
    <row r="253" spans="1:27" s="1905" customFormat="1" ht="12">
      <c r="A253" s="1906"/>
      <c r="B253" s="1907"/>
      <c r="Y253" s="1908"/>
      <c r="Z253" s="1908"/>
      <c r="AA253" s="1908"/>
    </row>
    <row r="254" spans="1:27" s="1905" customFormat="1" ht="12">
      <c r="A254" s="1906"/>
      <c r="B254" s="1907"/>
      <c r="Y254" s="1908"/>
      <c r="Z254" s="1908"/>
      <c r="AA254" s="1908"/>
    </row>
    <row r="255" spans="1:27" s="1905" customFormat="1" ht="12">
      <c r="A255" s="1906"/>
      <c r="B255" s="1907"/>
      <c r="Y255" s="1908"/>
      <c r="Z255" s="1908"/>
      <c r="AA255" s="1908"/>
    </row>
    <row r="256" spans="1:27" s="1905" customFormat="1" ht="12">
      <c r="A256" s="1906"/>
      <c r="B256" s="1907"/>
      <c r="Y256" s="1908"/>
      <c r="Z256" s="1908"/>
      <c r="AA256" s="1908"/>
    </row>
    <row r="257" spans="1:27" s="1905" customFormat="1" ht="12">
      <c r="A257" s="1906"/>
      <c r="B257" s="1907"/>
      <c r="Y257" s="1908"/>
      <c r="Z257" s="1908"/>
      <c r="AA257" s="1908"/>
    </row>
    <row r="258" spans="1:27" s="1905" customFormat="1" ht="12">
      <c r="A258" s="1906"/>
      <c r="B258" s="1907"/>
      <c r="Y258" s="1908"/>
      <c r="Z258" s="1908"/>
      <c r="AA258" s="1908"/>
    </row>
    <row r="259" spans="1:27" s="1905" customFormat="1" ht="12">
      <c r="A259" s="1906"/>
      <c r="B259" s="1907"/>
      <c r="Y259" s="1908"/>
      <c r="Z259" s="1908"/>
      <c r="AA259" s="1908"/>
    </row>
    <row r="260" spans="1:27" s="1905" customFormat="1" ht="12">
      <c r="A260" s="1906"/>
      <c r="B260" s="1907"/>
      <c r="Y260" s="1908"/>
      <c r="Z260" s="1908"/>
      <c r="AA260" s="1908"/>
    </row>
    <row r="261" spans="1:27" s="1905" customFormat="1" ht="12">
      <c r="A261" s="1906"/>
      <c r="B261" s="1907"/>
      <c r="Y261" s="1908"/>
      <c r="Z261" s="1908"/>
      <c r="AA261" s="1908"/>
    </row>
    <row r="262" spans="1:27" s="1905" customFormat="1" ht="12">
      <c r="A262" s="1906"/>
      <c r="B262" s="1907"/>
      <c r="Y262" s="1908"/>
      <c r="Z262" s="1908"/>
      <c r="AA262" s="1908"/>
    </row>
    <row r="263" spans="1:27" s="1905" customFormat="1" ht="12">
      <c r="A263" s="1906"/>
      <c r="B263" s="1907"/>
      <c r="Y263" s="1908"/>
      <c r="Z263" s="1908"/>
      <c r="AA263" s="1908"/>
    </row>
    <row r="264" spans="1:27" s="1905" customFormat="1" ht="12">
      <c r="A264" s="1906"/>
      <c r="B264" s="1907"/>
      <c r="Y264" s="1908"/>
      <c r="Z264" s="1908"/>
      <c r="AA264" s="1908"/>
    </row>
    <row r="265" spans="1:27" s="1905" customFormat="1" ht="12">
      <c r="A265" s="1906"/>
      <c r="B265" s="1907"/>
      <c r="Y265" s="1908"/>
      <c r="Z265" s="1908"/>
      <c r="AA265" s="1908"/>
    </row>
    <row r="266" spans="1:27" s="1905" customFormat="1" ht="12">
      <c r="A266" s="1906"/>
      <c r="B266" s="1907"/>
      <c r="Y266" s="1908"/>
      <c r="Z266" s="1908"/>
      <c r="AA266" s="1908"/>
    </row>
    <row r="267" spans="1:27" s="1905" customFormat="1" ht="12">
      <c r="A267" s="1906"/>
      <c r="B267" s="1907"/>
      <c r="Y267" s="1908"/>
      <c r="Z267" s="1908"/>
      <c r="AA267" s="1908"/>
    </row>
    <row r="268" spans="1:27" ht="12.75">
      <c r="A268" s="1906"/>
      <c r="B268" s="1907"/>
      <c r="C268" s="1905"/>
      <c r="D268" s="1905"/>
      <c r="E268" s="1905"/>
      <c r="F268" s="1905"/>
      <c r="G268" s="1905"/>
      <c r="H268" s="1905"/>
      <c r="I268" s="1905"/>
      <c r="J268" s="1905"/>
      <c r="K268" s="1905"/>
      <c r="L268" s="1905"/>
      <c r="M268" s="1905"/>
      <c r="N268" s="1905"/>
      <c r="O268" s="1905"/>
      <c r="P268" s="1905"/>
      <c r="Q268" s="1905"/>
      <c r="R268" s="1905"/>
      <c r="S268" s="1905"/>
      <c r="T268" s="1905"/>
      <c r="U268" s="1905"/>
      <c r="V268" s="1905"/>
      <c r="W268" s="1905"/>
      <c r="X268" s="1905"/>
      <c r="Y268" s="1908"/>
      <c r="Z268" s="1908"/>
      <c r="AA268" s="1908"/>
    </row>
  </sheetData>
  <sheetProtection password="CF53" sheet="1"/>
  <mergeCells count="24">
    <mergeCell ref="A126:J126"/>
    <mergeCell ref="B22:E22"/>
    <mergeCell ref="B23:E23"/>
    <mergeCell ref="B25:E25"/>
    <mergeCell ref="B27:E27"/>
    <mergeCell ref="B28:E28"/>
    <mergeCell ref="B114:E114"/>
    <mergeCell ref="B13:E13"/>
    <mergeCell ref="A2:AA2"/>
    <mergeCell ref="A3:A4"/>
    <mergeCell ref="B3:B4"/>
    <mergeCell ref="C3:C4"/>
    <mergeCell ref="D3:E3"/>
    <mergeCell ref="F3:F4"/>
    <mergeCell ref="H3:P3"/>
    <mergeCell ref="Y3:Y4"/>
    <mergeCell ref="Z3:Z4"/>
    <mergeCell ref="AA1:AB1"/>
    <mergeCell ref="B9:E9"/>
    <mergeCell ref="B10:E10"/>
    <mergeCell ref="AA3:AA4"/>
    <mergeCell ref="B6:E6"/>
    <mergeCell ref="B7:E7"/>
    <mergeCell ref="B8:E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J147"/>
  <sheetViews>
    <sheetView view="pageBreakPreview" zoomScaleSheetLayoutView="100" zoomScalePageLayoutView="0" workbookViewId="0" topLeftCell="A1">
      <pane ySplit="8" topLeftCell="A9" activePane="bottomLeft" state="frozen"/>
      <selection pane="topLeft" activeCell="I244" sqref="I244"/>
      <selection pane="bottomLeft" activeCell="L37" sqref="L37"/>
    </sheetView>
  </sheetViews>
  <sheetFormatPr defaultColWidth="9.00390625" defaultRowHeight="12.75"/>
  <cols>
    <col min="1" max="1" width="3.625" style="356" customWidth="1"/>
    <col min="2" max="2" width="35.375" style="357" customWidth="1"/>
    <col min="3" max="3" width="13.625" style="357" customWidth="1"/>
    <col min="4" max="4" width="13.875" style="357" customWidth="1"/>
    <col min="5" max="5" width="8.375" style="362" customWidth="1"/>
    <col min="6" max="6" width="8.125" style="357" customWidth="1"/>
    <col min="7" max="7" width="14.00390625" style="357" hidden="1" customWidth="1"/>
    <col min="8" max="8" width="18.625" style="357" hidden="1" customWidth="1"/>
    <col min="9" max="9" width="13.125" style="357" hidden="1" customWidth="1"/>
    <col min="10" max="10" width="12.625" style="357" hidden="1" customWidth="1"/>
    <col min="11" max="16384" width="9.125" style="357" customWidth="1"/>
  </cols>
  <sheetData>
    <row r="1" spans="1:6" s="97" customFormat="1" ht="12.75">
      <c r="A1" s="96"/>
      <c r="D1" s="98"/>
      <c r="E1" s="1963" t="s">
        <v>59</v>
      </c>
      <c r="F1" s="1963"/>
    </row>
    <row r="2" spans="1:5" s="97" customFormat="1" ht="8.25" customHeight="1">
      <c r="A2" s="96"/>
      <c r="D2" s="99"/>
      <c r="E2" s="99"/>
    </row>
    <row r="3" spans="1:6" s="97" customFormat="1" ht="13.5" customHeight="1">
      <c r="A3" s="1967" t="s">
        <v>1722</v>
      </c>
      <c r="B3" s="1967"/>
      <c r="C3" s="1967"/>
      <c r="D3" s="1967"/>
      <c r="E3" s="1967"/>
      <c r="F3" s="1967"/>
    </row>
    <row r="4" spans="1:5" s="97" customFormat="1" ht="2.25" customHeight="1">
      <c r="A4" s="1964"/>
      <c r="B4" s="1964"/>
      <c r="C4" s="1964"/>
      <c r="D4" s="1964"/>
      <c r="E4" s="1964"/>
    </row>
    <row r="5" spans="1:6" s="97" customFormat="1" ht="13.5" thickBot="1">
      <c r="A5" s="614"/>
      <c r="B5" s="614"/>
      <c r="C5" s="614"/>
      <c r="D5" s="614"/>
      <c r="E5" s="810"/>
      <c r="F5" s="810" t="s">
        <v>208</v>
      </c>
    </row>
    <row r="6" spans="1:6" s="97" customFormat="1" ht="15.75" customHeight="1">
      <c r="A6" s="1968" t="s">
        <v>1219</v>
      </c>
      <c r="B6" s="1970" t="s">
        <v>126</v>
      </c>
      <c r="C6" s="1965" t="s">
        <v>391</v>
      </c>
      <c r="D6" s="1966"/>
      <c r="E6" s="1972" t="s">
        <v>303</v>
      </c>
      <c r="F6" s="1974" t="s">
        <v>120</v>
      </c>
    </row>
    <row r="7" spans="1:6" s="97" customFormat="1" ht="23.25" customHeight="1">
      <c r="A7" s="1969"/>
      <c r="B7" s="1971"/>
      <c r="C7" s="817" t="s">
        <v>211</v>
      </c>
      <c r="D7" s="818" t="s">
        <v>212</v>
      </c>
      <c r="E7" s="1973"/>
      <c r="F7" s="1975"/>
    </row>
    <row r="8" spans="1:6" s="574" customFormat="1" ht="12" customHeight="1" thickBot="1">
      <c r="A8" s="571">
        <v>1</v>
      </c>
      <c r="B8" s="572">
        <v>2</v>
      </c>
      <c r="C8" s="572">
        <v>3</v>
      </c>
      <c r="D8" s="572">
        <v>4</v>
      </c>
      <c r="E8" s="621">
        <v>5</v>
      </c>
      <c r="F8" s="573">
        <v>6</v>
      </c>
    </row>
    <row r="9" spans="1:6" s="97" customFormat="1" ht="18" customHeight="1">
      <c r="A9" s="819" t="s">
        <v>1220</v>
      </c>
      <c r="B9" s="820" t="s">
        <v>1221</v>
      </c>
      <c r="C9" s="821">
        <f>SUM(C10,C15)</f>
        <v>220041184.56</v>
      </c>
      <c r="D9" s="1922">
        <f>SUM(D10,D15)</f>
        <v>215495987.94</v>
      </c>
      <c r="E9" s="822">
        <f>D9*100/C9</f>
        <v>97.93438822414599</v>
      </c>
      <c r="F9" s="823">
        <f>D9/D$9*100</f>
        <v>100</v>
      </c>
    </row>
    <row r="10" spans="1:6" s="109" customFormat="1" ht="18" customHeight="1">
      <c r="A10" s="830" t="s">
        <v>1222</v>
      </c>
      <c r="B10" s="831" t="s">
        <v>45</v>
      </c>
      <c r="C10" s="108">
        <f>SUM(C11,C12,C13,C14)</f>
        <v>184407554.56</v>
      </c>
      <c r="D10" s="1923">
        <f>SUM(D11,D12,D13,D14)</f>
        <v>181987234.54</v>
      </c>
      <c r="E10" s="832">
        <f aca="true" t="shared" si="0" ref="E10:E17">D10*100/C10</f>
        <v>98.68751579848508</v>
      </c>
      <c r="F10" s="833">
        <f aca="true" t="shared" si="1" ref="F10:F17">D10/D$9*100</f>
        <v>84.45040498418479</v>
      </c>
    </row>
    <row r="11" spans="1:6" s="97" customFormat="1" ht="31.5" customHeight="1">
      <c r="A11" s="824" t="s">
        <v>47</v>
      </c>
      <c r="B11" s="107" t="s">
        <v>1441</v>
      </c>
      <c r="C11" s="106">
        <f>6DOCHODY!E10+6DOCHODY!E86+6DOCHODY!E87+6DOCHODY!E106+6DOCHODY!E138+6DOCHODY!E153+6DOCHODY!E173+6DOCHODY!E204+6DOCHODY!E213+6DOCHODY!E215+6DOCHODY!E222+6DOCHODY!E233+6DOCHODY!E249+6DOCHODY!E250+6DOCHODY!E251+6DOCHODY!E270+6DOCHODY!E271+6DOCHODY!E283+6DOCHODY!E290+6DOCHODY!E296+6DOCHODY!E301+6DOCHODY!E302+6DOCHODY!E306+6DOCHODY!E307+6DOCHODY!E312+6DOCHODY!E317+6DOCHODY!E318+6DOCHODY!E324+6DOCHODY!E326+6DOCHODY!E329+6DOCHODY!E330+6DOCHODY!E331+6DOCHODY!E338+6DOCHODY!E356+6DOCHODY!E357+6DOCHODY!E358+6DOCHODY!E441+6DOCHODY!E469+6DOCHODY!E473+6DOCHODY!E479+6DOCHODY!E482+6DOCHODY!E488+6DOCHODY!E496+6DOCHODY!E503+6DOCHODY!E522+6DOCHODY!E548+6DOCHODY!E555+6DOCHODY!E559+6DOCHODY!E560+6DOCHODY!E565+6DOCHODY!E568+6DOCHODY!E573+6DOCHODY!E576+6DOCHODY!E598+6DOCHODY!E198+6DOCHODY!E513+6DOCHODY!E202+6DOCHODY!E517+6DOCHODY!E519+6DOCHODY!E526+6DOCHODY!E541+6DOCHODY!E571+6DOCHODY!E582+6DOCHODY!E594+6DOCHODY!E497+6DOCHODY!E500</f>
        <v>115986468.56</v>
      </c>
      <c r="D11" s="106">
        <f>6DOCHODY!F10+6DOCHODY!F86+6DOCHODY!F87+6DOCHODY!F106+6DOCHODY!F138+6DOCHODY!F153+6DOCHODY!F173+6DOCHODY!F204+6DOCHODY!F213+6DOCHODY!F215+6DOCHODY!F222+6DOCHODY!F233+6DOCHODY!F249+6DOCHODY!F250+6DOCHODY!F251+6DOCHODY!F270+6DOCHODY!F271+6DOCHODY!F283+6DOCHODY!F290+6DOCHODY!F296+6DOCHODY!F301+6DOCHODY!F302+6DOCHODY!F306+6DOCHODY!F307+6DOCHODY!F312+6DOCHODY!F317+6DOCHODY!F318+6DOCHODY!F324+6DOCHODY!F326+6DOCHODY!F329+6DOCHODY!F330+6DOCHODY!F331+6DOCHODY!F338+6DOCHODY!F356+6DOCHODY!F357+6DOCHODY!F358+6DOCHODY!F441+6DOCHODY!F469+6DOCHODY!F473+6DOCHODY!F479+6DOCHODY!F482+6DOCHODY!F488+6DOCHODY!F496+6DOCHODY!F503+6DOCHODY!F522+6DOCHODY!F548+6DOCHODY!F555+6DOCHODY!F559+6DOCHODY!F560+6DOCHODY!F565+6DOCHODY!F568+6DOCHODY!F573+6DOCHODY!F576+6DOCHODY!F598+6DOCHODY!F198+6DOCHODY!F513+6DOCHODY!F202+6DOCHODY!F517+6DOCHODY!F519+6DOCHODY!F526+6DOCHODY!F541+6DOCHODY!F571+6DOCHODY!F582+6DOCHODY!F594+6DOCHODY!F497+6DOCHODY!F500</f>
        <v>114310396.58999999</v>
      </c>
      <c r="E11" s="825">
        <f t="shared" si="0"/>
        <v>98.55494180415279</v>
      </c>
      <c r="F11" s="826">
        <f t="shared" si="1"/>
        <v>53.04525512643286</v>
      </c>
    </row>
    <row r="12" spans="1:6" s="97" customFormat="1" ht="21.75" customHeight="1">
      <c r="A12" s="824" t="s">
        <v>48</v>
      </c>
      <c r="B12" s="827" t="s">
        <v>193</v>
      </c>
      <c r="C12" s="106">
        <f>SUM(6DOCHODY!E127,6DOCHODY!E129,6DOCHODY!E146,6DOCHODY!E158,6DOCHODY!E345,6DOCHODY!E347,6DOCHODY!E349,6DOCHODY!E427,6DOCHODY!E536,6DOCHODY!E538,6DOCHODY!E561,6DOCHODY!E584,6DOCHODY!E586,6DOCHODY!E588,6DOCHODY!E599,6DOCHODY!E601)</f>
        <v>412093</v>
      </c>
      <c r="D12" s="106">
        <f>SUM(6DOCHODY!F127,6DOCHODY!F129,6DOCHODY!F146,6DOCHODY!F158,6DOCHODY!F345,6DOCHODY!F347,6DOCHODY!F349,6DOCHODY!F427,6DOCHODY!F536,6DOCHODY!F538,6DOCHODY!F561,6DOCHODY!F584,6DOCHODY!F586,6DOCHODY!F588,6DOCHODY!F599,6DOCHODY!F601)</f>
        <v>510107.98</v>
      </c>
      <c r="E12" s="825">
        <f t="shared" si="0"/>
        <v>123.78467481854824</v>
      </c>
      <c r="F12" s="826">
        <f t="shared" si="1"/>
        <v>0.23671344644338718</v>
      </c>
    </row>
    <row r="13" spans="1:6" s="97" customFormat="1" ht="18" customHeight="1">
      <c r="A13" s="824" t="s">
        <v>49</v>
      </c>
      <c r="B13" s="827" t="s">
        <v>46</v>
      </c>
      <c r="C13" s="106">
        <f>SUM(6DOCHODY!E57,6DOCHODY!E131,6DOCHODY!E132,6DOCHODY!E159,6DOCHODY!E241,6DOCHODY!E252,6DOCHODY!E420)</f>
        <v>12150</v>
      </c>
      <c r="D13" s="106">
        <f>SUM(6DOCHODY!F57,6DOCHODY!F131,6DOCHODY!F132,6DOCHODY!F159,6DOCHODY!F241,6DOCHODY!F252,6DOCHODY!F420)</f>
        <v>7703.12</v>
      </c>
      <c r="E13" s="825">
        <f>D13*100/C13</f>
        <v>63.4001646090535</v>
      </c>
      <c r="F13" s="826">
        <f>D13/D$9*100</f>
        <v>0.003574600192623893</v>
      </c>
    </row>
    <row r="14" spans="1:6" s="97" customFormat="1" ht="18" customHeight="1">
      <c r="A14" s="824" t="s">
        <v>54</v>
      </c>
      <c r="B14" s="827" t="s">
        <v>147</v>
      </c>
      <c r="C14" s="106">
        <f>C51-C15-C11-C12-C13</f>
        <v>67996843</v>
      </c>
      <c r="D14" s="1917">
        <f>D51-D15-D11-D12-D13</f>
        <v>67159026.85</v>
      </c>
      <c r="E14" s="825">
        <f>D14*100/C14</f>
        <v>98.76786022256944</v>
      </c>
      <c r="F14" s="826">
        <f>D14/D$9*100</f>
        <v>31.164861811115905</v>
      </c>
    </row>
    <row r="15" spans="1:6" s="109" customFormat="1" ht="17.25" customHeight="1">
      <c r="A15" s="830" t="s">
        <v>1223</v>
      </c>
      <c r="B15" s="834" t="s">
        <v>44</v>
      </c>
      <c r="C15" s="108">
        <f>SUM(C16:C19)</f>
        <v>35633630</v>
      </c>
      <c r="D15" s="108">
        <f>SUM(D16:D19)</f>
        <v>33508753.4</v>
      </c>
      <c r="E15" s="835">
        <f t="shared" si="0"/>
        <v>94.0368786452573</v>
      </c>
      <c r="F15" s="833">
        <f t="shared" si="1"/>
        <v>15.549595015815216</v>
      </c>
    </row>
    <row r="16" spans="1:6" s="97" customFormat="1" ht="33" customHeight="1">
      <c r="A16" s="824" t="s">
        <v>50</v>
      </c>
      <c r="B16" s="827" t="s">
        <v>1605</v>
      </c>
      <c r="C16" s="106">
        <f>SUM(6DOCHODY!E14,6DOCHODY!E33,6DOCHODY!E54,6DOCHODY!E82,6DOCHODY!E83,6DOCHODY!E111,6DOCHODY!E209,6DOCHODY!E365,6DOCHODY!E394,6DOCHODY!E455)</f>
        <v>26126997</v>
      </c>
      <c r="D16" s="106">
        <f>SUM(6DOCHODY!F14,6DOCHODY!F33,6DOCHODY!F54,6DOCHODY!F82,6DOCHODY!F83,6DOCHODY!F111,6DOCHODY!F209,6DOCHODY!F365,6DOCHODY!F394,6DOCHODY!F455)+6DOCHODY!F534</f>
        <v>21410287.900000002</v>
      </c>
      <c r="E16" s="828">
        <f>D16*100/C16</f>
        <v>81.94699107593576</v>
      </c>
      <c r="F16" s="826">
        <f>D16/D$9*100</f>
        <v>9.935353369994626</v>
      </c>
    </row>
    <row r="17" spans="1:6" s="97" customFormat="1" ht="18.75" customHeight="1">
      <c r="A17" s="824" t="s">
        <v>51</v>
      </c>
      <c r="B17" s="827" t="s">
        <v>1421</v>
      </c>
      <c r="C17" s="106">
        <f>SUM(6DOCHODY!E40+6DOCHODY!E68,6DOCHODY!E227,6DOCHODY!E253,6DOCHODY!E431,6DOCHODY!E464,6DOCHODY!E466,6DOCHODY!E470,6DOCHODY!E483,6DOCHODY!E485,6DOCHODY!E501,6DOCHODY!E542,6DOCHODY!E606,6DOCHODY!E520)</f>
        <v>194475</v>
      </c>
      <c r="D17" s="106">
        <f>SUM(6DOCHODY!F40+6DOCHODY!F68,6DOCHODY!F227,6DOCHODY!F253,6DOCHODY!F431,6DOCHODY!F464,6DOCHODY!F466,6DOCHODY!F470,6DOCHODY!F483,6DOCHODY!F485,6DOCHODY!F501,6DOCHODY!F542,6DOCHODY!F606,6DOCHODY!F520)</f>
        <v>191148.31999999998</v>
      </c>
      <c r="E17" s="828">
        <f t="shared" si="0"/>
        <v>98.2894048078159</v>
      </c>
      <c r="F17" s="826">
        <f t="shared" si="1"/>
        <v>0.08870156787012709</v>
      </c>
    </row>
    <row r="18" spans="1:6" s="97" customFormat="1" ht="18" customHeight="1" hidden="1">
      <c r="A18" s="824" t="s">
        <v>53</v>
      </c>
      <c r="B18" s="827" t="s">
        <v>1090</v>
      </c>
      <c r="C18" s="829">
        <f>SUM(6DOCHODY!E369,6DOCHODY!E375)</f>
        <v>0</v>
      </c>
      <c r="D18" s="829">
        <f>SUM(6DOCHODY!F369,6DOCHODY!F375)</f>
        <v>0</v>
      </c>
      <c r="E18" s="828" t="e">
        <f>D18*100/C18</f>
        <v>#DIV/0!</v>
      </c>
      <c r="F18" s="826">
        <f>D18/D$9*100</f>
        <v>0</v>
      </c>
    </row>
    <row r="19" spans="1:6" s="97" customFormat="1" ht="22.5" customHeight="1">
      <c r="A19" s="824" t="s">
        <v>53</v>
      </c>
      <c r="B19" s="827" t="s">
        <v>402</v>
      </c>
      <c r="C19" s="829">
        <f>SUM(6DOCHODY!E38,6DOCHODY!E46,6DOCHODY!E48,6DOCHODY!E62,6DOCHODY!E64,6DOCHODY!E66,6DOCHODY!E92,6DOCHODY!E134,6DOCHODY!E148,6DOCHODY!E150,6DOCHODY!E151,6DOCHODY!E217,6DOCHODY!E223,6DOCHODY!E225,6DOCHODY!E267,6DOCHODY!E332,6DOCHODY!E352,6DOCHODY!E373,6DOCHODY!E376,6DOCHODY!E398,6DOCHODY!E412,6DOCHODY!E414,6DOCHODY!E421,6DOCHODY!E428,6DOCHODY!E430,6DOCHODY!E446,6DOCHODY!E459,6DOCHODY!E461,6DOCHODY!E462,6DOCHODY!E480)+6DOCHODY!E37+6DOCHODY!E72+6DOCHODY!E74+6DOCHODY!E405+6DOCHODY!E530+6DOCHODY!E590</f>
        <v>9312158</v>
      </c>
      <c r="D19" s="829">
        <f>SUM(6DOCHODY!F38,6DOCHODY!F46,6DOCHODY!F48,6DOCHODY!F62,6DOCHODY!F64,6DOCHODY!F66,6DOCHODY!F92,6DOCHODY!F134,6DOCHODY!F148,6DOCHODY!F150,6DOCHODY!F151,6DOCHODY!F217,6DOCHODY!F223,6DOCHODY!F225,6DOCHODY!F267,6DOCHODY!F332,6DOCHODY!F352,6DOCHODY!F373,6DOCHODY!F376,6DOCHODY!F398,6DOCHODY!F412,6DOCHODY!F414,6DOCHODY!F421,6DOCHODY!F428,6DOCHODY!F430,6DOCHODY!F446,6DOCHODY!F459,6DOCHODY!F461,6DOCHODY!F462,6DOCHODY!F480)+6DOCHODY!F37+6DOCHODY!F72+6DOCHODY!F74+6DOCHODY!F405+6DOCHODY!F530+6DOCHODY!F590</f>
        <v>11907317.179999998</v>
      </c>
      <c r="E19" s="828">
        <f>D19*100/C19</f>
        <v>127.86850459367203</v>
      </c>
      <c r="F19" s="826">
        <f>D19/D$9*100</f>
        <v>5.525540077950463</v>
      </c>
    </row>
    <row r="20" spans="1:6" s="97" customFormat="1" ht="18" customHeight="1">
      <c r="A20" s="1033" t="s">
        <v>1224</v>
      </c>
      <c r="B20" s="1034" t="s">
        <v>1225</v>
      </c>
      <c r="C20" s="105">
        <f>SUM(C21,C31)</f>
        <v>242984430.56</v>
      </c>
      <c r="D20" s="1924">
        <f>SUM(D21,D31)</f>
        <v>225976025.64000002</v>
      </c>
      <c r="E20" s="1035">
        <f aca="true" t="shared" si="2" ref="E20:E31">D20*100/C20</f>
        <v>93.00020792245776</v>
      </c>
      <c r="F20" s="1036">
        <f>D20/D$20*100</f>
        <v>100</v>
      </c>
    </row>
    <row r="21" spans="1:6" s="109" customFormat="1" ht="18" customHeight="1">
      <c r="A21" s="830" t="s">
        <v>1222</v>
      </c>
      <c r="B21" s="1037" t="s">
        <v>1235</v>
      </c>
      <c r="C21" s="108">
        <f>SUM(C22,C27,C28,C29,C30)</f>
        <v>194203289.56</v>
      </c>
      <c r="D21" s="108">
        <f>SUM(D22,D27,D28,D29,D30)</f>
        <v>182217368.42000002</v>
      </c>
      <c r="E21" s="1038">
        <f t="shared" si="2"/>
        <v>93.82815751105137</v>
      </c>
      <c r="F21" s="833">
        <f aca="true" t="shared" si="3" ref="F21:F37">D21/D$20*100</f>
        <v>80.63570810395991</v>
      </c>
    </row>
    <row r="22" spans="1:6" s="97" customFormat="1" ht="27" customHeight="1">
      <c r="A22" s="824" t="s">
        <v>47</v>
      </c>
      <c r="B22" s="107" t="s">
        <v>756</v>
      </c>
      <c r="C22" s="106">
        <f>SUM(9W!D923)</f>
        <v>149968605.56</v>
      </c>
      <c r="D22" s="106">
        <f>SUM(9W!E923)</f>
        <v>143340956.89</v>
      </c>
      <c r="E22" s="1039">
        <f t="shared" si="2"/>
        <v>95.58064259832808</v>
      </c>
      <c r="F22" s="1040">
        <f>D22/D$20*100</f>
        <v>63.431931101556295</v>
      </c>
    </row>
    <row r="23" spans="1:6" s="97" customFormat="1" ht="18" customHeight="1">
      <c r="A23" s="824"/>
      <c r="B23" s="1041" t="s">
        <v>67</v>
      </c>
      <c r="C23" s="209">
        <f>SUM(9W!D924)</f>
        <v>68261217.57</v>
      </c>
      <c r="D23" s="209">
        <f>SUM(9W!E924)</f>
        <v>62099562.260000005</v>
      </c>
      <c r="E23" s="1039">
        <f t="shared" si="2"/>
        <v>90.97341722086722</v>
      </c>
      <c r="F23" s="1040">
        <f>D23/D$20*100</f>
        <v>27.480597591768497</v>
      </c>
    </row>
    <row r="24" spans="1:9" s="1047" customFormat="1" ht="16.5" customHeight="1">
      <c r="A24" s="1042"/>
      <c r="B24" s="1043" t="s">
        <v>181</v>
      </c>
      <c r="C24" s="1044">
        <v>1200</v>
      </c>
      <c r="D24" s="1044">
        <v>399.99</v>
      </c>
      <c r="E24" s="1045">
        <f>D24*100/C24</f>
        <v>33.3325</v>
      </c>
      <c r="F24" s="1046">
        <f>D24/D$20*100</f>
        <v>0.0001770055026267343</v>
      </c>
      <c r="I24" s="1841" t="s">
        <v>403</v>
      </c>
    </row>
    <row r="25" spans="1:7" s="97" customFormat="1" ht="15.75" customHeight="1">
      <c r="A25" s="1048"/>
      <c r="B25" s="225" t="s">
        <v>65</v>
      </c>
      <c r="C25" s="209">
        <f>SUM(9W!D925)</f>
        <v>81707387.99</v>
      </c>
      <c r="D25" s="209">
        <f>SUM(9W!E925)</f>
        <v>81241394.63</v>
      </c>
      <c r="E25" s="1039">
        <f t="shared" si="2"/>
        <v>99.42968026336</v>
      </c>
      <c r="F25" s="1040">
        <f>D25/D$20*100</f>
        <v>35.951333509787794</v>
      </c>
      <c r="G25" s="97" t="s">
        <v>1405</v>
      </c>
    </row>
    <row r="26" spans="1:6" s="102" customFormat="1" ht="16.5" customHeight="1" hidden="1">
      <c r="A26" s="1048"/>
      <c r="B26" s="225" t="s">
        <v>1243</v>
      </c>
      <c r="C26" s="209">
        <f>SUM(9W!D927)</f>
        <v>0</v>
      </c>
      <c r="D26" s="209">
        <f>SUM(9W!E927)</f>
        <v>0</v>
      </c>
      <c r="E26" s="1039" t="e">
        <f t="shared" si="2"/>
        <v>#DIV/0!</v>
      </c>
      <c r="F26" s="1040">
        <f>D26/D$20*100</f>
        <v>0</v>
      </c>
    </row>
    <row r="27" spans="1:7" s="97" customFormat="1" ht="18" customHeight="1">
      <c r="A27" s="824" t="s">
        <v>49</v>
      </c>
      <c r="B27" s="218" t="s">
        <v>1395</v>
      </c>
      <c r="C27" s="106">
        <f>SUM(9W!D928)</f>
        <v>17494112</v>
      </c>
      <c r="D27" s="106">
        <f>SUM(9W!E928)</f>
        <v>16367693.330000002</v>
      </c>
      <c r="E27" s="1049">
        <f t="shared" si="2"/>
        <v>93.56115549048732</v>
      </c>
      <c r="F27" s="826">
        <f t="shared" si="3"/>
        <v>7.2431105395557305</v>
      </c>
      <c r="G27" s="97" t="s">
        <v>1803</v>
      </c>
    </row>
    <row r="28" spans="1:6" s="97" customFormat="1" ht="18" customHeight="1">
      <c r="A28" s="824" t="s">
        <v>54</v>
      </c>
      <c r="B28" s="218" t="s">
        <v>68</v>
      </c>
      <c r="C28" s="106">
        <f>SUM(9W!D929)</f>
        <v>13765906</v>
      </c>
      <c r="D28" s="106">
        <f>SUM(9W!E929)</f>
        <v>13408713.379999999</v>
      </c>
      <c r="E28" s="1049">
        <f t="shared" si="2"/>
        <v>97.40523711261721</v>
      </c>
      <c r="F28" s="826">
        <f t="shared" si="3"/>
        <v>5.933688470723561</v>
      </c>
    </row>
    <row r="29" spans="1:6" s="97" customFormat="1" ht="18" customHeight="1">
      <c r="A29" s="824" t="s">
        <v>69</v>
      </c>
      <c r="B29" s="218" t="s">
        <v>1423</v>
      </c>
      <c r="C29" s="106">
        <f>9W!D930</f>
        <v>448893</v>
      </c>
      <c r="D29" s="106">
        <f>9W!E930</f>
        <v>359788.43</v>
      </c>
      <c r="E29" s="1049">
        <f>D29*100/C29</f>
        <v>80.15015382284865</v>
      </c>
      <c r="F29" s="826">
        <f>D29/D$20*100</f>
        <v>0.1592153101113368</v>
      </c>
    </row>
    <row r="30" spans="1:6" s="97" customFormat="1" ht="18" customHeight="1">
      <c r="A30" s="824" t="s">
        <v>1422</v>
      </c>
      <c r="B30" s="218" t="s">
        <v>55</v>
      </c>
      <c r="C30" s="106">
        <f>SUM(9W!D931)</f>
        <v>12525773</v>
      </c>
      <c r="D30" s="122">
        <f>SUM(9W!E931)</f>
        <v>8740216.39</v>
      </c>
      <c r="E30" s="1049">
        <f t="shared" si="2"/>
        <v>69.77786033644391</v>
      </c>
      <c r="F30" s="826">
        <f t="shared" si="3"/>
        <v>3.8677626820129785</v>
      </c>
    </row>
    <row r="31" spans="1:10" s="109" customFormat="1" ht="16.5" customHeight="1">
      <c r="A31" s="830" t="s">
        <v>1223</v>
      </c>
      <c r="B31" s="1037" t="s">
        <v>431</v>
      </c>
      <c r="C31" s="108">
        <f>SUM(C32,C37)</f>
        <v>48781141</v>
      </c>
      <c r="D31" s="129">
        <f>SUM(D32,D37)</f>
        <v>43758657.22</v>
      </c>
      <c r="E31" s="1038">
        <f t="shared" si="2"/>
        <v>89.70404611897044</v>
      </c>
      <c r="F31" s="833">
        <f t="shared" si="3"/>
        <v>19.36429189604009</v>
      </c>
      <c r="I31" s="583"/>
      <c r="J31" s="583"/>
    </row>
    <row r="32" spans="1:10" s="97" customFormat="1" ht="27" customHeight="1">
      <c r="A32" s="824" t="s">
        <v>50</v>
      </c>
      <c r="B32" s="121" t="s">
        <v>757</v>
      </c>
      <c r="C32" s="122">
        <f>SUM(9W!D933,9W!D934)</f>
        <v>48780982</v>
      </c>
      <c r="D32" s="122">
        <f>SUM(9W!E933,9W!E934)</f>
        <v>43758664.08</v>
      </c>
      <c r="E32" s="1049">
        <f aca="true" t="shared" si="4" ref="E32:E37">D32*100/C32</f>
        <v>89.70435256920412</v>
      </c>
      <c r="F32" s="826">
        <f t="shared" si="3"/>
        <v>19.364294931760355</v>
      </c>
      <c r="I32" s="583">
        <f>SUM(C33,C34,C35,C36)</f>
        <v>48780982</v>
      </c>
      <c r="J32" s="583">
        <f>SUM(D33,D34,D35,D36)</f>
        <v>43758664.080000006</v>
      </c>
    </row>
    <row r="33" spans="1:9" s="102" customFormat="1" ht="21" customHeight="1">
      <c r="A33" s="1048"/>
      <c r="B33" s="135" t="s">
        <v>1801</v>
      </c>
      <c r="C33" s="136">
        <v>24964387</v>
      </c>
      <c r="D33" s="136">
        <f>23102971.91-748140.32</f>
        <v>22354831.59</v>
      </c>
      <c r="E33" s="1039">
        <f t="shared" si="4"/>
        <v>89.54688769245566</v>
      </c>
      <c r="F33" s="1040">
        <f t="shared" si="3"/>
        <v>9.892567818505333</v>
      </c>
      <c r="G33" s="598">
        <f>SUM(C33:C37)</f>
        <v>48781141</v>
      </c>
      <c r="H33" s="598">
        <f>SUM(D33:D37)</f>
        <v>43758657.220000006</v>
      </c>
      <c r="I33" s="1841" t="s">
        <v>403</v>
      </c>
    </row>
    <row r="34" spans="1:8" s="102" customFormat="1" ht="18" customHeight="1">
      <c r="A34" s="1048"/>
      <c r="B34" s="1041" t="s">
        <v>1423</v>
      </c>
      <c r="C34" s="136">
        <f>SUM(9W!D934)</f>
        <v>12615281</v>
      </c>
      <c r="D34" s="136">
        <f>SUM(9W!E934)</f>
        <v>11504111.05</v>
      </c>
      <c r="E34" s="1039">
        <f t="shared" si="4"/>
        <v>91.19187317349491</v>
      </c>
      <c r="F34" s="1040">
        <f t="shared" si="3"/>
        <v>5.090854668064247</v>
      </c>
      <c r="G34" s="1050" t="s">
        <v>1802</v>
      </c>
      <c r="H34" s="1050" t="s">
        <v>1802</v>
      </c>
    </row>
    <row r="35" spans="1:9" s="102" customFormat="1" ht="18" customHeight="1">
      <c r="A35" s="1048"/>
      <c r="B35" s="1041" t="s">
        <v>404</v>
      </c>
      <c r="C35" s="136">
        <v>4219160</v>
      </c>
      <c r="D35" s="136">
        <v>3190385.49</v>
      </c>
      <c r="E35" s="1039">
        <f t="shared" si="4"/>
        <v>75.61660354193725</v>
      </c>
      <c r="F35" s="1040">
        <f t="shared" si="3"/>
        <v>1.4118247636953174</v>
      </c>
      <c r="G35" s="598">
        <f>C31-G33</f>
        <v>0</v>
      </c>
      <c r="H35" s="598">
        <f>D31-H33</f>
        <v>0</v>
      </c>
      <c r="I35" s="1841" t="s">
        <v>403</v>
      </c>
    </row>
    <row r="36" spans="1:9" s="102" customFormat="1" ht="18" customHeight="1">
      <c r="A36" s="1048"/>
      <c r="B36" s="1041" t="s">
        <v>758</v>
      </c>
      <c r="C36" s="136">
        <v>6982154</v>
      </c>
      <c r="D36" s="136">
        <v>6709335.95</v>
      </c>
      <c r="E36" s="1039">
        <f t="shared" si="4"/>
        <v>96.09263774474181</v>
      </c>
      <c r="F36" s="1040">
        <f t="shared" si="3"/>
        <v>2.969047681495457</v>
      </c>
      <c r="I36" s="1841" t="s">
        <v>403</v>
      </c>
    </row>
    <row r="37" spans="1:6" s="97" customFormat="1" ht="38.25" customHeight="1" thickBot="1">
      <c r="A37" s="1051" t="s">
        <v>51</v>
      </c>
      <c r="B37" s="1052" t="s">
        <v>755</v>
      </c>
      <c r="C37" s="1053">
        <f>SUM(9W!D935)</f>
        <v>159</v>
      </c>
      <c r="D37" s="1053">
        <f>SUM(9W!E935)</f>
        <v>-6.86</v>
      </c>
      <c r="E37" s="1054">
        <f t="shared" si="4"/>
        <v>-4.314465408805032</v>
      </c>
      <c r="F37" s="1055">
        <f t="shared" si="3"/>
        <v>-3.0357202630550698E-06</v>
      </c>
    </row>
    <row r="38" spans="1:6" s="97" customFormat="1" ht="18" customHeight="1">
      <c r="A38" s="1056" t="s">
        <v>1226</v>
      </c>
      <c r="B38" s="1057" t="s">
        <v>101</v>
      </c>
      <c r="C38" s="2185">
        <f>C9-C20</f>
        <v>-22943246</v>
      </c>
      <c r="D38" s="2185">
        <f>D9-D20</f>
        <v>-10480037.700000018</v>
      </c>
      <c r="E38" s="2186" t="s">
        <v>1227</v>
      </c>
      <c r="F38" s="1058" t="s">
        <v>1227</v>
      </c>
    </row>
    <row r="39" spans="1:6" s="97" customFormat="1" ht="18.75" customHeight="1">
      <c r="A39" s="1056" t="s">
        <v>1233</v>
      </c>
      <c r="B39" s="1057" t="s">
        <v>333</v>
      </c>
      <c r="C39" s="2185">
        <f>C40-C45</f>
        <v>22943246</v>
      </c>
      <c r="D39" s="2185">
        <f>D40-D45</f>
        <v>22036892.990000002</v>
      </c>
      <c r="E39" s="2186" t="s">
        <v>1227</v>
      </c>
      <c r="F39" s="1064" t="s">
        <v>1227</v>
      </c>
    </row>
    <row r="40" spans="1:6" s="97" customFormat="1" ht="18" customHeight="1">
      <c r="A40" s="1059" t="s">
        <v>1222</v>
      </c>
      <c r="B40" s="1060" t="s">
        <v>1211</v>
      </c>
      <c r="C40" s="214">
        <f>SUM(C41,C42,C43,C44)</f>
        <v>28743246</v>
      </c>
      <c r="D40" s="115">
        <f>SUM(D41,D42,D43,D44)</f>
        <v>27836892.990000002</v>
      </c>
      <c r="E40" s="1061">
        <f aca="true" t="shared" si="5" ref="E40:E48">D40/C40*100</f>
        <v>96.84672701893169</v>
      </c>
      <c r="F40" s="1062">
        <f>D40/D$40*100</f>
        <v>100</v>
      </c>
    </row>
    <row r="41" spans="1:6" s="97" customFormat="1" ht="18" customHeight="1">
      <c r="A41" s="1059"/>
      <c r="B41" s="1063" t="s">
        <v>1256</v>
      </c>
      <c r="C41" s="106">
        <f>5PiR!D9</f>
        <v>14000000</v>
      </c>
      <c r="D41" s="106">
        <f>5PiR!E9</f>
        <v>14000000</v>
      </c>
      <c r="E41" s="1049">
        <f t="shared" si="5"/>
        <v>100</v>
      </c>
      <c r="F41" s="826">
        <f>D41/D$40*100</f>
        <v>50.29296913642373</v>
      </c>
    </row>
    <row r="42" spans="1:6" s="97" customFormat="1" ht="18" customHeight="1">
      <c r="A42" s="1059"/>
      <c r="B42" s="1063" t="s">
        <v>192</v>
      </c>
      <c r="C42" s="106">
        <f>5PiR!D10+5PiR!D12</f>
        <v>43300</v>
      </c>
      <c r="D42" s="106">
        <f>5PiR!E10+5PiR!E12</f>
        <v>0</v>
      </c>
      <c r="E42" s="1049">
        <f t="shared" si="5"/>
        <v>0</v>
      </c>
      <c r="F42" s="826">
        <f>D42/D$40*100</f>
        <v>0</v>
      </c>
    </row>
    <row r="43" spans="1:6" s="97" customFormat="1" ht="18" customHeight="1">
      <c r="A43" s="1059"/>
      <c r="B43" s="1842" t="s">
        <v>139</v>
      </c>
      <c r="C43" s="106">
        <f>5PiR!D13</f>
        <v>3316047</v>
      </c>
      <c r="D43" s="106">
        <f>5PiR!E13</f>
        <v>2452598.67</v>
      </c>
      <c r="E43" s="1049">
        <f>D43/C43*100</f>
        <v>73.96151713169324</v>
      </c>
      <c r="F43" s="826">
        <f>D43/D$40*100</f>
        <v>8.810604943881705</v>
      </c>
    </row>
    <row r="44" spans="1:6" s="97" customFormat="1" ht="18" customHeight="1">
      <c r="A44" s="1059"/>
      <c r="B44" s="1063" t="s">
        <v>1559</v>
      </c>
      <c r="C44" s="106">
        <f>5PiR!D11</f>
        <v>11383899</v>
      </c>
      <c r="D44" s="2187">
        <f>5PiR!E11</f>
        <v>11384294.32</v>
      </c>
      <c r="E44" s="1049">
        <f t="shared" si="5"/>
        <v>100.00347262392262</v>
      </c>
      <c r="F44" s="826">
        <f>D44/D$40*100</f>
        <v>40.896425919694565</v>
      </c>
    </row>
    <row r="45" spans="1:6" s="97" customFormat="1" ht="18" customHeight="1">
      <c r="A45" s="1059" t="s">
        <v>1223</v>
      </c>
      <c r="B45" s="1060" t="s">
        <v>237</v>
      </c>
      <c r="C45" s="1065">
        <f>SUM(C46,C47,C48)</f>
        <v>5800000</v>
      </c>
      <c r="D45" s="1065">
        <f>SUM(D46,D47,D48)</f>
        <v>5800000</v>
      </c>
      <c r="E45" s="1061">
        <f t="shared" si="5"/>
        <v>100</v>
      </c>
      <c r="F45" s="1066">
        <f>D45/D$45*100</f>
        <v>100</v>
      </c>
    </row>
    <row r="46" spans="1:6" s="97" customFormat="1" ht="18" customHeight="1">
      <c r="A46" s="1059"/>
      <c r="B46" s="1063" t="s">
        <v>52</v>
      </c>
      <c r="C46" s="829">
        <f>5PiR!D17</f>
        <v>2800000</v>
      </c>
      <c r="D46" s="829">
        <f>5PiR!E17</f>
        <v>2800000</v>
      </c>
      <c r="E46" s="1049">
        <f t="shared" si="5"/>
        <v>100</v>
      </c>
      <c r="F46" s="826">
        <f>D46/D$45*100</f>
        <v>48.275862068965516</v>
      </c>
    </row>
    <row r="47" spans="1:6" s="97" customFormat="1" ht="18" customHeight="1" hidden="1">
      <c r="A47" s="1059"/>
      <c r="B47" s="1063" t="s">
        <v>305</v>
      </c>
      <c r="C47" s="829">
        <f>5PiR!D20</f>
        <v>0</v>
      </c>
      <c r="D47" s="829">
        <f>5PiR!E20</f>
        <v>0</v>
      </c>
      <c r="E47" s="1049" t="e">
        <f t="shared" si="5"/>
        <v>#DIV/0!</v>
      </c>
      <c r="F47" s="826">
        <f>D47/D$45*100</f>
        <v>0</v>
      </c>
    </row>
    <row r="48" spans="1:6" s="97" customFormat="1" ht="15.75" customHeight="1">
      <c r="A48" s="1059"/>
      <c r="B48" s="1063" t="s">
        <v>102</v>
      </c>
      <c r="C48" s="829">
        <f>5PiR!D16</f>
        <v>3000000</v>
      </c>
      <c r="D48" s="829">
        <f>5PiR!E16</f>
        <v>3000000</v>
      </c>
      <c r="E48" s="1049">
        <f t="shared" si="5"/>
        <v>100</v>
      </c>
      <c r="F48" s="826">
        <f>D48/D$45*100</f>
        <v>51.724137931034484</v>
      </c>
    </row>
    <row r="49" spans="1:6" s="97" customFormat="1" ht="0.75" customHeight="1" thickBot="1">
      <c r="A49" s="1067"/>
      <c r="B49" s="1068"/>
      <c r="C49" s="1069"/>
      <c r="D49" s="1069"/>
      <c r="E49" s="1054"/>
      <c r="F49" s="1070"/>
    </row>
    <row r="50" spans="1:5" s="97" customFormat="1" ht="14.25" customHeight="1">
      <c r="A50" s="614"/>
      <c r="B50" s="808"/>
      <c r="C50" s="809"/>
      <c r="D50" s="809"/>
      <c r="E50" s="810"/>
    </row>
    <row r="51" spans="1:5" s="97" customFormat="1" ht="15.75" customHeight="1" hidden="1">
      <c r="A51" s="96"/>
      <c r="B51" s="811" t="s">
        <v>57</v>
      </c>
      <c r="C51" s="812">
        <v>220041184.56</v>
      </c>
      <c r="D51" s="812">
        <f>215495964.69+23.25</f>
        <v>215495987.94</v>
      </c>
      <c r="E51" s="604"/>
    </row>
    <row r="52" spans="1:5" s="97" customFormat="1" ht="15.75" customHeight="1" hidden="1">
      <c r="A52" s="96"/>
      <c r="B52" s="811" t="s">
        <v>58</v>
      </c>
      <c r="C52" s="813">
        <f>C9</f>
        <v>220041184.56</v>
      </c>
      <c r="D52" s="813">
        <f>D9</f>
        <v>215495987.94</v>
      </c>
      <c r="E52" s="604"/>
    </row>
    <row r="53" spans="1:5" s="97" customFormat="1" ht="15.75" customHeight="1" hidden="1" thickBot="1">
      <c r="A53" s="96"/>
      <c r="B53" s="811" t="s">
        <v>1663</v>
      </c>
      <c r="C53" s="814">
        <f>C51-C52</f>
        <v>0</v>
      </c>
      <c r="D53" s="814">
        <f>D51-D52</f>
        <v>0</v>
      </c>
      <c r="E53" s="604"/>
    </row>
    <row r="54" spans="1:5" s="97" customFormat="1" ht="15.75" customHeight="1" hidden="1" thickTop="1">
      <c r="A54" s="96"/>
      <c r="B54" s="811"/>
      <c r="C54" s="815"/>
      <c r="D54" s="815"/>
      <c r="E54" s="604"/>
    </row>
    <row r="55" spans="1:5" s="97" customFormat="1" ht="15.75" customHeight="1" hidden="1">
      <c r="A55" s="96"/>
      <c r="B55" s="811" t="s">
        <v>56</v>
      </c>
      <c r="C55" s="815">
        <v>242984430.56</v>
      </c>
      <c r="D55" s="815">
        <v>225976025.64</v>
      </c>
      <c r="E55" s="604"/>
    </row>
    <row r="56" spans="1:5" s="97" customFormat="1" ht="15.75" customHeight="1" hidden="1">
      <c r="A56" s="96"/>
      <c r="B56" s="811" t="s">
        <v>58</v>
      </c>
      <c r="C56" s="816">
        <f>SUM(C20)</f>
        <v>242984430.56</v>
      </c>
      <c r="D56" s="816">
        <f>SUM(D20)</f>
        <v>225976025.64000002</v>
      </c>
      <c r="E56" s="604"/>
    </row>
    <row r="57" spans="1:5" s="97" customFormat="1" ht="13.5" hidden="1" thickBot="1">
      <c r="A57" s="96"/>
      <c r="B57" s="811" t="s">
        <v>1663</v>
      </c>
      <c r="C57" s="1071">
        <f>C55-C56</f>
        <v>0</v>
      </c>
      <c r="D57" s="1071">
        <f>D55-D56</f>
        <v>0</v>
      </c>
      <c r="E57" s="604"/>
    </row>
    <row r="58" spans="1:5" s="97" customFormat="1" ht="12.75">
      <c r="A58" s="96"/>
      <c r="B58" s="612"/>
      <c r="C58" s="815"/>
      <c r="D58" s="815"/>
      <c r="E58" s="604"/>
    </row>
    <row r="59" spans="2:4" ht="12.75">
      <c r="B59" s="364"/>
      <c r="C59" s="363"/>
      <c r="D59" s="363"/>
    </row>
    <row r="60" spans="2:4" ht="12.75">
      <c r="B60" s="364"/>
      <c r="C60" s="363"/>
      <c r="D60" s="363"/>
    </row>
    <row r="61" spans="2:4" ht="12.75">
      <c r="B61" s="364"/>
      <c r="C61" s="363"/>
      <c r="D61" s="363"/>
    </row>
    <row r="62" spans="2:4" ht="12.75">
      <c r="B62" s="364"/>
      <c r="C62" s="363"/>
      <c r="D62" s="363"/>
    </row>
    <row r="63" ht="12.75">
      <c r="B63" s="364"/>
    </row>
    <row r="64" ht="12.75">
      <c r="B64" s="364"/>
    </row>
    <row r="65" ht="12.75">
      <c r="B65" s="364"/>
    </row>
    <row r="66" ht="12.75">
      <c r="B66" s="364"/>
    </row>
    <row r="67" ht="12.75">
      <c r="B67" s="364"/>
    </row>
    <row r="68" ht="12.75">
      <c r="B68" s="364"/>
    </row>
    <row r="69" ht="12.75">
      <c r="B69" s="364"/>
    </row>
    <row r="70" ht="12.75">
      <c r="B70" s="364"/>
    </row>
    <row r="71" ht="12.75">
      <c r="B71" s="364"/>
    </row>
    <row r="72" ht="12.75">
      <c r="B72" s="364"/>
    </row>
    <row r="73" ht="12.75">
      <c r="B73" s="364"/>
    </row>
    <row r="74" ht="12.75">
      <c r="B74" s="364"/>
    </row>
    <row r="75" ht="12.75">
      <c r="B75" s="364"/>
    </row>
    <row r="76" ht="12.75">
      <c r="B76" s="364"/>
    </row>
    <row r="77" ht="12.75">
      <c r="B77" s="364"/>
    </row>
    <row r="78" ht="12.75">
      <c r="B78" s="364"/>
    </row>
    <row r="79" ht="12.75">
      <c r="B79" s="364"/>
    </row>
    <row r="80" ht="12.75">
      <c r="B80" s="364"/>
    </row>
    <row r="81" ht="12.75">
      <c r="B81" s="364"/>
    </row>
    <row r="82" ht="12.75">
      <c r="B82" s="364"/>
    </row>
    <row r="83" ht="12.75">
      <c r="B83" s="364"/>
    </row>
    <row r="84" ht="12.75">
      <c r="B84" s="364"/>
    </row>
    <row r="85" ht="12.75">
      <c r="B85" s="364"/>
    </row>
    <row r="86" ht="12.75">
      <c r="B86" s="364"/>
    </row>
    <row r="87" ht="12.75">
      <c r="B87" s="364"/>
    </row>
    <row r="88" ht="12.75">
      <c r="B88" s="364"/>
    </row>
    <row r="89" ht="12.75">
      <c r="B89" s="364"/>
    </row>
    <row r="90" ht="12.75">
      <c r="B90" s="364"/>
    </row>
    <row r="91" ht="12.75">
      <c r="B91" s="364"/>
    </row>
    <row r="92" ht="12.75">
      <c r="B92" s="364"/>
    </row>
    <row r="93" ht="12.75">
      <c r="B93" s="364"/>
    </row>
    <row r="94" ht="12.75">
      <c r="B94" s="364"/>
    </row>
    <row r="95" ht="12.75">
      <c r="B95" s="364"/>
    </row>
    <row r="96" ht="12.75">
      <c r="B96" s="364"/>
    </row>
    <row r="97" ht="12.75">
      <c r="B97" s="364"/>
    </row>
    <row r="98" ht="12.75">
      <c r="B98" s="364"/>
    </row>
    <row r="99" ht="12.75">
      <c r="B99" s="364"/>
    </row>
    <row r="100" ht="12.75">
      <c r="B100" s="364"/>
    </row>
    <row r="101" ht="12.75">
      <c r="B101" s="364"/>
    </row>
    <row r="102" ht="12.75">
      <c r="B102" s="364"/>
    </row>
    <row r="103" ht="12.75">
      <c r="B103" s="364"/>
    </row>
    <row r="104" ht="12.75">
      <c r="B104" s="364"/>
    </row>
    <row r="105" ht="12.75">
      <c r="B105" s="364"/>
    </row>
    <row r="106" ht="12.75">
      <c r="B106" s="364"/>
    </row>
    <row r="107" ht="12.75">
      <c r="B107" s="364"/>
    </row>
    <row r="108" ht="12.75">
      <c r="B108" s="364"/>
    </row>
    <row r="109" ht="12.75">
      <c r="B109" s="364"/>
    </row>
    <row r="110" ht="12.75">
      <c r="B110" s="364"/>
    </row>
    <row r="111" ht="12.75">
      <c r="B111" s="364"/>
    </row>
    <row r="112" ht="12.75">
      <c r="B112" s="364"/>
    </row>
    <row r="113" ht="12.75">
      <c r="B113" s="364"/>
    </row>
    <row r="114" ht="12.75">
      <c r="B114" s="364"/>
    </row>
    <row r="115" ht="12.75">
      <c r="B115" s="364"/>
    </row>
    <row r="116" ht="12.75">
      <c r="B116" s="364"/>
    </row>
    <row r="117" ht="12.75">
      <c r="B117" s="364"/>
    </row>
    <row r="118" ht="12.75">
      <c r="B118" s="364"/>
    </row>
    <row r="119" ht="12.75">
      <c r="B119" s="364"/>
    </row>
    <row r="120" ht="12.75">
      <c r="B120" s="364"/>
    </row>
    <row r="121" ht="12.75">
      <c r="B121" s="364"/>
    </row>
    <row r="122" ht="12.75">
      <c r="B122" s="364"/>
    </row>
    <row r="123" ht="12.75">
      <c r="B123" s="364"/>
    </row>
    <row r="124" ht="12.75">
      <c r="B124" s="364"/>
    </row>
    <row r="125" ht="12.75">
      <c r="B125" s="364"/>
    </row>
    <row r="126" ht="12.75">
      <c r="B126" s="364"/>
    </row>
    <row r="127" ht="12.75">
      <c r="B127" s="364"/>
    </row>
    <row r="128" ht="12.75">
      <c r="B128" s="364"/>
    </row>
    <row r="129" ht="12.75">
      <c r="B129" s="364"/>
    </row>
    <row r="130" ht="12.75">
      <c r="B130" s="364"/>
    </row>
    <row r="131" ht="12.75">
      <c r="B131" s="364"/>
    </row>
    <row r="132" ht="12.75">
      <c r="B132" s="364"/>
    </row>
    <row r="133" ht="12.75">
      <c r="B133" s="364"/>
    </row>
    <row r="134" ht="12.75">
      <c r="B134" s="364"/>
    </row>
    <row r="135" ht="12.75">
      <c r="B135" s="364"/>
    </row>
    <row r="136" ht="12.75">
      <c r="B136" s="364"/>
    </row>
    <row r="137" ht="12.75">
      <c r="B137" s="364"/>
    </row>
    <row r="138" ht="12.75">
      <c r="B138" s="364"/>
    </row>
    <row r="139" ht="12.75">
      <c r="B139" s="364"/>
    </row>
    <row r="140" ht="12.75">
      <c r="B140" s="364"/>
    </row>
    <row r="141" ht="12.75">
      <c r="B141" s="364"/>
    </row>
    <row r="142" ht="12.75">
      <c r="B142" s="364"/>
    </row>
    <row r="143" ht="12.75">
      <c r="B143" s="364"/>
    </row>
    <row r="144" ht="12.75">
      <c r="B144" s="364"/>
    </row>
    <row r="145" ht="12.75">
      <c r="B145" s="364"/>
    </row>
    <row r="146" ht="12.75">
      <c r="B146" s="364"/>
    </row>
    <row r="147" ht="12.75">
      <c r="B147" s="364"/>
    </row>
  </sheetData>
  <sheetProtection password="CF53" sheet="1" formatRows="0" insertColumns="0" insertRows="0" insertHyperlinks="0" deleteColumns="0" deleteRows="0" sort="0" autoFilter="0" pivotTables="0"/>
  <mergeCells count="8">
    <mergeCell ref="E1:F1"/>
    <mergeCell ref="A4:E4"/>
    <mergeCell ref="C6:D6"/>
    <mergeCell ref="A3:F3"/>
    <mergeCell ref="A6:A7"/>
    <mergeCell ref="B6:B7"/>
    <mergeCell ref="E6:E7"/>
    <mergeCell ref="F6:F7"/>
  </mergeCells>
  <printOptions/>
  <pageMargins left="0.984251968503937" right="0.9055118110236221" top="0.984251968503937" bottom="0.984251968503937" header="0.5118110236220472" footer="0.5118110236220472"/>
  <pageSetup horizontalDpi="600" verticalDpi="600" orientation="portrait" paperSize="9" scale="96" r:id="rId1"/>
  <rowBreaks count="1" manualBreakCount="1">
    <brk id="38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J200"/>
  <sheetViews>
    <sheetView view="pageBreakPreview" zoomScaleSheetLayoutView="100" zoomScalePageLayoutView="0" workbookViewId="0" topLeftCell="A1">
      <pane ySplit="7" topLeftCell="A27" activePane="bottomLeft" state="frozen"/>
      <selection pane="topLeft" activeCell="I244" sqref="I244"/>
      <selection pane="bottomLeft" activeCell="K11" sqref="K11"/>
    </sheetView>
  </sheetViews>
  <sheetFormatPr defaultColWidth="9.00390625" defaultRowHeight="12.75"/>
  <cols>
    <col min="1" max="1" width="4.375" style="837" customWidth="1"/>
    <col min="2" max="2" width="27.625" style="841" customWidth="1"/>
    <col min="3" max="3" width="13.25390625" style="841" customWidth="1"/>
    <col min="4" max="4" width="13.625" style="841" customWidth="1"/>
    <col min="5" max="5" width="5.625" style="842" customWidth="1"/>
    <col min="6" max="7" width="13.375" style="841" customWidth="1"/>
    <col min="8" max="8" width="6.00390625" style="842" customWidth="1"/>
    <col min="9" max="9" width="14.375" style="841" customWidth="1"/>
    <col min="10" max="16384" width="9.125" style="841" customWidth="1"/>
  </cols>
  <sheetData>
    <row r="1" spans="7:8" ht="18.75" customHeight="1">
      <c r="G1" s="1977" t="s">
        <v>1431</v>
      </c>
      <c r="H1" s="1977"/>
    </row>
    <row r="2" ht="26.25" customHeight="1"/>
    <row r="3" spans="1:10" ht="12.75">
      <c r="A3" s="1985" t="s">
        <v>1179</v>
      </c>
      <c r="B3" s="1985"/>
      <c r="C3" s="1985"/>
      <c r="D3" s="1985"/>
      <c r="E3" s="1985"/>
      <c r="F3" s="1985"/>
      <c r="G3" s="1985"/>
      <c r="H3" s="1985"/>
      <c r="I3" s="871"/>
      <c r="J3" s="871"/>
    </row>
    <row r="4" spans="1:8" ht="10.5" customHeight="1" thickBot="1">
      <c r="A4" s="843"/>
      <c r="B4" s="844"/>
      <c r="C4" s="844"/>
      <c r="D4" s="844"/>
      <c r="E4" s="844"/>
      <c r="F4" s="844"/>
      <c r="G4" s="844"/>
      <c r="H4" s="872" t="s">
        <v>208</v>
      </c>
    </row>
    <row r="5" spans="1:9" ht="15" customHeight="1">
      <c r="A5" s="1978" t="s">
        <v>125</v>
      </c>
      <c r="B5" s="1980" t="s">
        <v>274</v>
      </c>
      <c r="C5" s="1982" t="s">
        <v>275</v>
      </c>
      <c r="D5" s="1983"/>
      <c r="E5" s="1983"/>
      <c r="F5" s="1982" t="s">
        <v>1212</v>
      </c>
      <c r="G5" s="1983"/>
      <c r="H5" s="1984"/>
      <c r="I5" s="838"/>
    </row>
    <row r="6" spans="1:8" ht="14.25" customHeight="1">
      <c r="A6" s="1979"/>
      <c r="B6" s="1981"/>
      <c r="C6" s="845" t="s">
        <v>1213</v>
      </c>
      <c r="D6" s="846" t="s">
        <v>212</v>
      </c>
      <c r="E6" s="846" t="s">
        <v>213</v>
      </c>
      <c r="F6" s="845" t="s">
        <v>1213</v>
      </c>
      <c r="G6" s="846" t="s">
        <v>212</v>
      </c>
      <c r="H6" s="873" t="s">
        <v>213</v>
      </c>
    </row>
    <row r="7" spans="1:8" s="875" customFormat="1" ht="11.25" thickBot="1">
      <c r="A7" s="847">
        <v>1</v>
      </c>
      <c r="B7" s="848">
        <v>2</v>
      </c>
      <c r="C7" s="848">
        <v>3</v>
      </c>
      <c r="D7" s="848">
        <v>4</v>
      </c>
      <c r="E7" s="848">
        <v>5</v>
      </c>
      <c r="F7" s="848">
        <v>6</v>
      </c>
      <c r="G7" s="848">
        <v>7</v>
      </c>
      <c r="H7" s="874">
        <v>8</v>
      </c>
    </row>
    <row r="8" spans="1:8" ht="4.5" customHeight="1">
      <c r="A8" s="849"/>
      <c r="B8" s="850"/>
      <c r="C8" s="850"/>
      <c r="D8" s="850"/>
      <c r="E8" s="851"/>
      <c r="F8" s="1072"/>
      <c r="G8" s="1072"/>
      <c r="H8" s="1073"/>
    </row>
    <row r="9" spans="1:8" ht="19.5" customHeight="1">
      <c r="A9" s="788" t="s">
        <v>214</v>
      </c>
      <c r="B9" s="850" t="s">
        <v>276</v>
      </c>
      <c r="C9" s="664">
        <f>SUM(6DOCHODY!E8,6DOCHODY!E439)</f>
        <v>37123.57</v>
      </c>
      <c r="D9" s="664">
        <f>SUM(6DOCHODY!F8,6DOCHODY!F439)</f>
        <v>37123.57</v>
      </c>
      <c r="E9" s="852">
        <f>D9*100/C9</f>
        <v>100</v>
      </c>
      <c r="F9" s="664">
        <f>SUM(9W!D8)</f>
        <v>264023.57</v>
      </c>
      <c r="G9" s="664">
        <f>SUM(9W!E8)</f>
        <v>144505.93</v>
      </c>
      <c r="H9" s="665">
        <f aca="true" t="shared" si="0" ref="H9:H21">G9*100/F9</f>
        <v>54.73220818883708</v>
      </c>
    </row>
    <row r="10" spans="1:8" ht="19.5" customHeight="1">
      <c r="A10" s="788" t="s">
        <v>216</v>
      </c>
      <c r="B10" s="850" t="s">
        <v>277</v>
      </c>
      <c r="C10" s="664">
        <f>SUM(6DOCHODY!E11)</f>
        <v>16700</v>
      </c>
      <c r="D10" s="664">
        <f>SUM(6DOCHODY!F11)</f>
        <v>13554.800000000001</v>
      </c>
      <c r="E10" s="852">
        <f>D10*100/C10</f>
        <v>81.16646706586826</v>
      </c>
      <c r="F10" s="664">
        <f>SUM(9W!D21)</f>
        <v>20000</v>
      </c>
      <c r="G10" s="664">
        <f>SUM(9W!E21)</f>
        <v>4974</v>
      </c>
      <c r="H10" s="665">
        <f t="shared" si="0"/>
        <v>24.87</v>
      </c>
    </row>
    <row r="11" spans="1:8" ht="27.75" customHeight="1">
      <c r="A11" s="788" t="s">
        <v>399</v>
      </c>
      <c r="B11" s="853" t="s">
        <v>242</v>
      </c>
      <c r="C11" s="664">
        <f>6DOCHODY!E16</f>
        <v>0</v>
      </c>
      <c r="D11" s="664">
        <f>6DOCHODY!F16</f>
        <v>0</v>
      </c>
      <c r="E11" s="852" t="s">
        <v>1195</v>
      </c>
      <c r="F11" s="664">
        <f>SUM(9W!D26)</f>
        <v>1429000</v>
      </c>
      <c r="G11" s="664">
        <f>SUM(9W!E26)</f>
        <v>1411739.7</v>
      </c>
      <c r="H11" s="665">
        <f>G11/F11*100</f>
        <v>98.79214135759273</v>
      </c>
    </row>
    <row r="12" spans="1:8" ht="19.5" customHeight="1">
      <c r="A12" s="788" t="s">
        <v>218</v>
      </c>
      <c r="B12" s="850" t="s">
        <v>278</v>
      </c>
      <c r="C12" s="664">
        <f>6DOCHODY!E19</f>
        <v>0</v>
      </c>
      <c r="D12" s="2188">
        <f>6DOCHODY!F19</f>
        <v>0</v>
      </c>
      <c r="E12" s="2189" t="s">
        <v>1195</v>
      </c>
      <c r="F12" s="2188">
        <f>SUM(9W!D31)</f>
        <v>4954188</v>
      </c>
      <c r="G12" s="2188">
        <f>SUM(9W!E31)</f>
        <v>3703408.26</v>
      </c>
      <c r="H12" s="665">
        <f t="shared" si="0"/>
        <v>74.75308284627067</v>
      </c>
    </row>
    <row r="13" spans="1:8" ht="19.5" customHeight="1" hidden="1">
      <c r="A13" s="788" t="s">
        <v>290</v>
      </c>
      <c r="B13" s="850" t="s">
        <v>291</v>
      </c>
      <c r="C13" s="664">
        <f>SUM(6DOCHODY!E23)</f>
        <v>0</v>
      </c>
      <c r="D13" s="2188">
        <f>SUM(6DOCHODY!F23)</f>
        <v>0</v>
      </c>
      <c r="E13" s="2189" t="s">
        <v>1195</v>
      </c>
      <c r="F13" s="2188">
        <v>0</v>
      </c>
      <c r="G13" s="2188">
        <v>0</v>
      </c>
      <c r="H13" s="665" t="s">
        <v>1195</v>
      </c>
    </row>
    <row r="14" spans="1:8" ht="19.5" customHeight="1">
      <c r="A14" s="788" t="s">
        <v>310</v>
      </c>
      <c r="B14" s="850" t="s">
        <v>1236</v>
      </c>
      <c r="C14" s="664">
        <f>SUM(6DOCHODY!E26,6DOCHODY!E442)</f>
        <v>3006037</v>
      </c>
      <c r="D14" s="2188">
        <f>SUM(6DOCHODY!F26,6DOCHODY!F442)</f>
        <v>6480319.71</v>
      </c>
      <c r="E14" s="2189">
        <f>D14*100/C14</f>
        <v>215.57684452985774</v>
      </c>
      <c r="F14" s="2188">
        <f>SUM(9W!D39,9W!D572)</f>
        <v>51511259</v>
      </c>
      <c r="G14" s="2188">
        <f>SUM(9W!E39,9W!E572)</f>
        <v>50571980.23999999</v>
      </c>
      <c r="H14" s="665">
        <f t="shared" si="0"/>
        <v>98.176556391293</v>
      </c>
    </row>
    <row r="15" spans="1:8" ht="19.5" customHeight="1">
      <c r="A15" s="788" t="s">
        <v>315</v>
      </c>
      <c r="B15" s="850" t="s">
        <v>279</v>
      </c>
      <c r="C15" s="664">
        <f>SUM(6DOCHODY!E50)</f>
        <v>956478</v>
      </c>
      <c r="D15" s="664">
        <f>SUM(6DOCHODY!F50)</f>
        <v>90953.53</v>
      </c>
      <c r="E15" s="852">
        <f>D15*100/C15</f>
        <v>9.509212966738389</v>
      </c>
      <c r="F15" s="664">
        <f>SUM(9W!D59)</f>
        <v>501830</v>
      </c>
      <c r="G15" s="664">
        <f>SUM(9W!E59)</f>
        <v>439012.7</v>
      </c>
      <c r="H15" s="665">
        <f t="shared" si="0"/>
        <v>87.48235458222904</v>
      </c>
    </row>
    <row r="16" spans="1:8" ht="19.5" customHeight="1">
      <c r="A16" s="788" t="s">
        <v>317</v>
      </c>
      <c r="B16" s="853" t="s">
        <v>280</v>
      </c>
      <c r="C16" s="664">
        <f>SUM(6DOCHODY!E69,6DOCHODY!E467)</f>
        <v>32947100</v>
      </c>
      <c r="D16" s="664">
        <f>SUM(6DOCHODY!F69,6DOCHODY!F467)</f>
        <v>27633767.189999998</v>
      </c>
      <c r="E16" s="852">
        <f>D16*100/C16</f>
        <v>83.87313963899706</v>
      </c>
      <c r="F16" s="664">
        <f>SUM(9W!D70,9W!D586)</f>
        <v>12698711</v>
      </c>
      <c r="G16" s="664">
        <f>SUM(9W!E70,9W!E586)</f>
        <v>11233765.92</v>
      </c>
      <c r="H16" s="665">
        <f t="shared" si="0"/>
        <v>88.46382849408889</v>
      </c>
    </row>
    <row r="17" spans="1:8" ht="19.5" customHeight="1">
      <c r="A17" s="788" t="s">
        <v>260</v>
      </c>
      <c r="B17" s="853" t="s">
        <v>281</v>
      </c>
      <c r="C17" s="664">
        <f>SUM(6DOCHODY!E93,6DOCHODY!E471)</f>
        <v>1198000</v>
      </c>
      <c r="D17" s="664">
        <f>SUM(6DOCHODY!F93,6DOCHODY!F471)</f>
        <v>1229404.48</v>
      </c>
      <c r="E17" s="852">
        <f>D17*100/C17</f>
        <v>102.62140901502504</v>
      </c>
      <c r="F17" s="664">
        <f>SUM(9W!D90,9W!D593)</f>
        <v>2338117</v>
      </c>
      <c r="G17" s="664">
        <f>SUM(9W!E90,9W!E593)</f>
        <v>1703102.28</v>
      </c>
      <c r="H17" s="665">
        <f t="shared" si="0"/>
        <v>72.8407637427896</v>
      </c>
    </row>
    <row r="18" spans="1:9" ht="19.5" customHeight="1">
      <c r="A18" s="788" t="s">
        <v>941</v>
      </c>
      <c r="B18" s="853" t="s">
        <v>282</v>
      </c>
      <c r="C18" s="664">
        <f>SUM(6DOCHODY!E104,6DOCHODY!E486)</f>
        <v>4014989</v>
      </c>
      <c r="D18" s="664">
        <f>SUM(6DOCHODY!F104,6DOCHODY!F486)</f>
        <v>4199103.42</v>
      </c>
      <c r="E18" s="852">
        <f>D18/C18*100</f>
        <v>104.58567682252678</v>
      </c>
      <c r="F18" s="664">
        <f>SUM(9W!D106,9W!D617)</f>
        <v>18918672</v>
      </c>
      <c r="G18" s="664">
        <f>SUM(9W!E106,9W!E617)</f>
        <v>18298598.32</v>
      </c>
      <c r="H18" s="665">
        <f t="shared" si="0"/>
        <v>96.72242491439145</v>
      </c>
      <c r="I18" s="838"/>
    </row>
    <row r="19" spans="1:8" ht="39" customHeight="1">
      <c r="A19" s="788" t="s">
        <v>1215</v>
      </c>
      <c r="B19" s="853" t="s">
        <v>233</v>
      </c>
      <c r="C19" s="664">
        <f>SUM(6DOCHODY!E136)</f>
        <v>7164</v>
      </c>
      <c r="D19" s="664">
        <f>SUM(6DOCHODY!F136)</f>
        <v>7162.7</v>
      </c>
      <c r="E19" s="852">
        <f>D19/C19*100</f>
        <v>99.9818537130095</v>
      </c>
      <c r="F19" s="664">
        <f>SUM(9W!D153)</f>
        <v>7164</v>
      </c>
      <c r="G19" s="664">
        <f>SUM(9W!E153)</f>
        <v>7162.7</v>
      </c>
      <c r="H19" s="665">
        <f t="shared" si="0"/>
        <v>99.98185371300949</v>
      </c>
    </row>
    <row r="20" spans="1:8" ht="18.75" customHeight="1" hidden="1">
      <c r="A20" s="788" t="s">
        <v>442</v>
      </c>
      <c r="B20" s="853" t="s">
        <v>1807</v>
      </c>
      <c r="C20" s="664">
        <v>0</v>
      </c>
      <c r="D20" s="664">
        <v>0</v>
      </c>
      <c r="E20" s="852" t="s">
        <v>1195</v>
      </c>
      <c r="F20" s="664">
        <f>9W!D170</f>
        <v>0</v>
      </c>
      <c r="G20" s="664">
        <f>9W!E170</f>
        <v>0</v>
      </c>
      <c r="H20" s="665" t="e">
        <f t="shared" si="0"/>
        <v>#DIV/0!</v>
      </c>
    </row>
    <row r="21" spans="1:8" ht="30" customHeight="1">
      <c r="A21" s="788" t="s">
        <v>5</v>
      </c>
      <c r="B21" s="853" t="s">
        <v>283</v>
      </c>
      <c r="C21" s="664">
        <f>SUM(6DOCHODY!E143,6DOCHODY!E498)</f>
        <v>4482754</v>
      </c>
      <c r="D21" s="664">
        <f>SUM(6DOCHODY!F143,6DOCHODY!F498)</f>
        <v>4498946.869999999</v>
      </c>
      <c r="E21" s="852">
        <f>D21/C21*100</f>
        <v>100.36122593387901</v>
      </c>
      <c r="F21" s="664">
        <f>SUM(9W!D177,9W!D637)</f>
        <v>5403160</v>
      </c>
      <c r="G21" s="664">
        <f>SUM(9W!E177,9W!E637)</f>
        <v>5088762.45</v>
      </c>
      <c r="H21" s="665">
        <f t="shared" si="0"/>
        <v>94.18122820719726</v>
      </c>
    </row>
    <row r="22" spans="1:8" ht="65.25" customHeight="1">
      <c r="A22" s="788" t="s">
        <v>284</v>
      </c>
      <c r="B22" s="853" t="s">
        <v>241</v>
      </c>
      <c r="C22" s="664">
        <f>SUM(6DOCHODY!E506,6DOCHODY!E160)</f>
        <v>86058526</v>
      </c>
      <c r="D22" s="664">
        <f>SUM(6DOCHODY!F506,6DOCHODY!F160)</f>
        <v>84691239.85000001</v>
      </c>
      <c r="E22" s="852">
        <f>D22*100/C22</f>
        <v>98.41121360828329</v>
      </c>
      <c r="F22" s="664">
        <f>SUM(9W!D213)</f>
        <v>0</v>
      </c>
      <c r="G22" s="664">
        <f>SUM(9W!E213)</f>
        <v>0</v>
      </c>
      <c r="H22" s="665" t="s">
        <v>1195</v>
      </c>
    </row>
    <row r="23" spans="1:8" ht="19.5" customHeight="1">
      <c r="A23" s="788" t="s">
        <v>9</v>
      </c>
      <c r="B23" s="850" t="s">
        <v>285</v>
      </c>
      <c r="C23" s="664">
        <v>0</v>
      </c>
      <c r="D23" s="664">
        <v>0</v>
      </c>
      <c r="E23" s="852" t="s">
        <v>1195</v>
      </c>
      <c r="F23" s="664">
        <f>SUM(9W!D219,9W!D664)</f>
        <v>12525773</v>
      </c>
      <c r="G23" s="664">
        <f>SUM(9W!E219,9W!E664)</f>
        <v>8740216.39</v>
      </c>
      <c r="H23" s="665">
        <f aca="true" t="shared" si="1" ref="H23:H32">G23*100/F23</f>
        <v>69.77786033644391</v>
      </c>
    </row>
    <row r="24" spans="1:8" ht="19.5" customHeight="1">
      <c r="A24" s="788" t="s">
        <v>10</v>
      </c>
      <c r="B24" s="850" t="s">
        <v>286</v>
      </c>
      <c r="C24" s="664">
        <f>SUM(6DOCHODY!E200,6DOCHODY!E515)</f>
        <v>65367496</v>
      </c>
      <c r="D24" s="664">
        <f>SUM(6DOCHODY!F200,6DOCHODY!F515)</f>
        <v>64669657.36</v>
      </c>
      <c r="E24" s="852">
        <f aca="true" t="shared" si="2" ref="E24:E31">D24*100/C24</f>
        <v>98.93243785871805</v>
      </c>
      <c r="F24" s="664">
        <f>SUM(9W!D228)</f>
        <v>831973</v>
      </c>
      <c r="G24" s="664">
        <f>SUM(9W!E228)</f>
        <v>0</v>
      </c>
      <c r="H24" s="665">
        <f t="shared" si="1"/>
        <v>0</v>
      </c>
    </row>
    <row r="25" spans="1:9" ht="19.5" customHeight="1">
      <c r="A25" s="788" t="s">
        <v>12</v>
      </c>
      <c r="B25" s="850" t="s">
        <v>1237</v>
      </c>
      <c r="C25" s="664">
        <f>SUM(6DOCHODY!E218,6DOCHODY!E527)</f>
        <v>4260602</v>
      </c>
      <c r="D25" s="664">
        <f>SUM(6DOCHODY!F218,6DOCHODY!F527)</f>
        <v>3689631.83</v>
      </c>
      <c r="E25" s="852">
        <f t="shared" si="2"/>
        <v>86.59883814540763</v>
      </c>
      <c r="F25" s="664">
        <f>SUM(9W!D236,9W!D667)</f>
        <v>54457543</v>
      </c>
      <c r="G25" s="664">
        <f>SUM(9W!E236,9W!E667)</f>
        <v>53981623.7</v>
      </c>
      <c r="H25" s="665">
        <f t="shared" si="1"/>
        <v>99.12607276461225</v>
      </c>
      <c r="I25" s="1074"/>
    </row>
    <row r="26" spans="1:9" ht="19.5" customHeight="1">
      <c r="A26" s="788" t="s">
        <v>21</v>
      </c>
      <c r="B26" s="850" t="s">
        <v>1238</v>
      </c>
      <c r="C26" s="664">
        <f>SUM(6DOCHODY!E254,6DOCHODY!E543)</f>
        <v>942500</v>
      </c>
      <c r="D26" s="664">
        <f>SUM(6DOCHODY!F254,6DOCHODY!F543)</f>
        <v>933641.16</v>
      </c>
      <c r="E26" s="852">
        <f t="shared" si="2"/>
        <v>99.0600700265252</v>
      </c>
      <c r="F26" s="664">
        <f>SUM(9W!D301,9W!D719)</f>
        <v>6774655</v>
      </c>
      <c r="G26" s="664">
        <f>SUM(9W!E301,9W!E719)</f>
        <v>5621781.38</v>
      </c>
      <c r="H26" s="665">
        <f t="shared" si="1"/>
        <v>82.98254863162774</v>
      </c>
      <c r="I26" s="838"/>
    </row>
    <row r="27" spans="1:8" ht="19.5" customHeight="1">
      <c r="A27" s="788" t="s">
        <v>574</v>
      </c>
      <c r="B27" s="850" t="s">
        <v>590</v>
      </c>
      <c r="C27" s="664">
        <f>SUM(6DOCHODY!E272,6DOCHODY!E550)</f>
        <v>9674126.99</v>
      </c>
      <c r="D27" s="664">
        <f>SUM(6DOCHODY!F272,6DOCHODY!F550)</f>
        <v>9404676.16</v>
      </c>
      <c r="E27" s="852">
        <f t="shared" si="2"/>
        <v>97.21472717612114</v>
      </c>
      <c r="F27" s="664">
        <f>SUM(9W!D341,9W!D752)</f>
        <v>18722763.990000002</v>
      </c>
      <c r="G27" s="664">
        <f>SUM(9W!E341,9W!E752)</f>
        <v>18120498.150000002</v>
      </c>
      <c r="H27" s="665">
        <f t="shared" si="1"/>
        <v>96.78324289981076</v>
      </c>
    </row>
    <row r="28" spans="1:8" ht="27" customHeight="1">
      <c r="A28" s="788" t="s">
        <v>25</v>
      </c>
      <c r="B28" s="854" t="s">
        <v>240</v>
      </c>
      <c r="C28" s="664">
        <f>SUM(6DOCHODY!E333,6DOCHODY!E574)</f>
        <v>1101417</v>
      </c>
      <c r="D28" s="664">
        <f>SUM(6DOCHODY!F333,6DOCHODY!F574)</f>
        <v>1190454.52</v>
      </c>
      <c r="E28" s="852">
        <f t="shared" si="2"/>
        <v>108.08390645868005</v>
      </c>
      <c r="F28" s="664">
        <f>SUM(9W!D420,9W!D795)</f>
        <v>4460849</v>
      </c>
      <c r="G28" s="664">
        <f>SUM(9W!E420,9W!E795)</f>
        <v>4284086.28</v>
      </c>
      <c r="H28" s="665">
        <f t="shared" si="1"/>
        <v>96.03746461716145</v>
      </c>
    </row>
    <row r="29" spans="1:8" ht="19.5" customHeight="1">
      <c r="A29" s="788" t="s">
        <v>35</v>
      </c>
      <c r="B29" s="850" t="s">
        <v>287</v>
      </c>
      <c r="C29" s="664">
        <f>SUM(6DOCHODY!E354,6DOCHODY!E592)</f>
        <v>236722</v>
      </c>
      <c r="D29" s="664">
        <f>SUM(6DOCHODY!F354,6DOCHODY!F592)</f>
        <v>150289.18999999997</v>
      </c>
      <c r="E29" s="852">
        <f t="shared" si="2"/>
        <v>63.48763106090688</v>
      </c>
      <c r="F29" s="664">
        <f>SUM(9W!D440,9W!D826)</f>
        <v>6293498</v>
      </c>
      <c r="G29" s="664">
        <f>SUM(9W!E440,9W!E826)</f>
        <v>6197590.83</v>
      </c>
      <c r="H29" s="665">
        <f t="shared" si="1"/>
        <v>98.4760911976138</v>
      </c>
    </row>
    <row r="30" spans="1:9" ht="27.75" customHeight="1">
      <c r="A30" s="788" t="s">
        <v>91</v>
      </c>
      <c r="B30" s="853" t="s">
        <v>272</v>
      </c>
      <c r="C30" s="664">
        <f>SUM(6DOCHODY!E362,6DOCHODY!E607)</f>
        <v>5608449</v>
      </c>
      <c r="D30" s="664">
        <f>SUM(6DOCHODY!F362,6DOCHODY!F607)</f>
        <v>6311769.34</v>
      </c>
      <c r="E30" s="852">
        <f t="shared" si="2"/>
        <v>112.54037150021334</v>
      </c>
      <c r="F30" s="664">
        <f>SUM(9W!D473,9W!D874)</f>
        <v>26586547</v>
      </c>
      <c r="G30" s="664">
        <f>SUM(9W!E473,9W!E874)</f>
        <v>23018545.830000002</v>
      </c>
      <c r="H30" s="665">
        <f t="shared" si="1"/>
        <v>86.579674412025</v>
      </c>
      <c r="I30" s="838"/>
    </row>
    <row r="31" spans="1:9" ht="26.25" customHeight="1">
      <c r="A31" s="788" t="s">
        <v>118</v>
      </c>
      <c r="B31" s="853" t="s">
        <v>273</v>
      </c>
      <c r="C31" s="664">
        <f>6DOCHODY!E400</f>
        <v>125000</v>
      </c>
      <c r="D31" s="664">
        <f>6DOCHODY!F400</f>
        <v>252875.79</v>
      </c>
      <c r="E31" s="852">
        <f t="shared" si="2"/>
        <v>202.300632</v>
      </c>
      <c r="F31" s="664">
        <f>SUM(9W!D522)</f>
        <v>5456067</v>
      </c>
      <c r="G31" s="664">
        <f>SUM(9W!E522)</f>
        <v>5253138.74</v>
      </c>
      <c r="H31" s="665">
        <f t="shared" si="1"/>
        <v>96.28068606928764</v>
      </c>
      <c r="I31" s="838"/>
    </row>
    <row r="32" spans="1:8" ht="19.5" customHeight="1" thickBot="1">
      <c r="A32" s="855" t="s">
        <v>119</v>
      </c>
      <c r="B32" s="856" t="s">
        <v>107</v>
      </c>
      <c r="C32" s="857">
        <f>SUM(6DOCHODY!E422)</f>
        <v>0</v>
      </c>
      <c r="D32" s="857">
        <f>SUM(6DOCHODY!F422)</f>
        <v>11416.47</v>
      </c>
      <c r="E32" s="1658" t="s">
        <v>1195</v>
      </c>
      <c r="F32" s="857">
        <f>SUM(9W!D557)</f>
        <v>8828637</v>
      </c>
      <c r="G32" s="857">
        <f>SUM(9W!E557)</f>
        <v>8151531.84</v>
      </c>
      <c r="H32" s="1075">
        <f t="shared" si="1"/>
        <v>92.33058103985927</v>
      </c>
    </row>
    <row r="33" spans="1:8" ht="3" customHeight="1">
      <c r="A33" s="858"/>
      <c r="B33" s="859"/>
      <c r="C33" s="860"/>
      <c r="D33" s="860"/>
      <c r="E33" s="861"/>
      <c r="F33" s="860"/>
      <c r="G33" s="860"/>
      <c r="H33" s="1076"/>
    </row>
    <row r="34" spans="1:8" s="1078" customFormat="1" ht="21" customHeight="1" thickBot="1">
      <c r="A34" s="862"/>
      <c r="B34" s="863" t="s">
        <v>288</v>
      </c>
      <c r="C34" s="864">
        <f>SUM(C9:C32)</f>
        <v>220041184.56</v>
      </c>
      <c r="D34" s="1925">
        <f>SUM(D9:D32)</f>
        <v>215495987.94000003</v>
      </c>
      <c r="E34" s="865">
        <f>D34*100/C34</f>
        <v>97.93438822414602</v>
      </c>
      <c r="F34" s="864">
        <f>SUM(F9:F32)</f>
        <v>242984430.56</v>
      </c>
      <c r="G34" s="1925">
        <f>SUM(G9:G32)</f>
        <v>225976025.64000005</v>
      </c>
      <c r="H34" s="1077">
        <f>G34*100/F34</f>
        <v>93.00020792245778</v>
      </c>
    </row>
    <row r="35" spans="1:8" s="125" customFormat="1" ht="13.5" customHeight="1" hidden="1">
      <c r="A35" s="866"/>
      <c r="B35" s="867" t="s">
        <v>1234</v>
      </c>
      <c r="C35" s="868"/>
      <c r="D35" s="868"/>
      <c r="E35" s="869"/>
      <c r="F35" s="868"/>
      <c r="G35" s="868"/>
      <c r="H35" s="1079"/>
    </row>
    <row r="36" spans="1:10" ht="42" customHeight="1" hidden="1">
      <c r="A36" s="836"/>
      <c r="B36" s="837" t="s">
        <v>81</v>
      </c>
      <c r="C36" s="812">
        <v>220874066.78</v>
      </c>
      <c r="D36" s="812">
        <v>215384427.27</v>
      </c>
      <c r="E36" s="838"/>
      <c r="F36" s="839">
        <v>265045705.78</v>
      </c>
      <c r="G36" s="839">
        <v>248113883.07</v>
      </c>
      <c r="H36" s="840">
        <f>G36/F36*100</f>
        <v>93.61173475338092</v>
      </c>
      <c r="I36" s="1976"/>
      <c r="J36" s="1976"/>
    </row>
    <row r="37" spans="1:8" ht="12.75" hidden="1">
      <c r="A37" s="836"/>
      <c r="B37" s="837" t="s">
        <v>1663</v>
      </c>
      <c r="C37" s="838">
        <f>C34-C36</f>
        <v>-832882.2199999988</v>
      </c>
      <c r="D37" s="838">
        <f>D34-D36</f>
        <v>111560.67000001669</v>
      </c>
      <c r="E37" s="870"/>
      <c r="F37" s="870">
        <f>F34-F36</f>
        <v>-22061275.22</v>
      </c>
      <c r="G37" s="838">
        <f>G34-G36</f>
        <v>-22137857.429999948</v>
      </c>
      <c r="H37" s="840"/>
    </row>
    <row r="38" spans="1:8" ht="12.75">
      <c r="A38" s="836"/>
      <c r="B38" s="837"/>
      <c r="C38" s="870"/>
      <c r="D38" s="870"/>
      <c r="E38" s="840"/>
      <c r="F38" s="870"/>
      <c r="G38" s="870"/>
      <c r="H38" s="840"/>
    </row>
    <row r="39" spans="1:8" ht="12.75">
      <c r="A39" s="836"/>
      <c r="B39" s="837"/>
      <c r="C39" s="870"/>
      <c r="D39" s="870"/>
      <c r="E39" s="840"/>
      <c r="F39" s="870"/>
      <c r="G39" s="870"/>
      <c r="H39" s="840"/>
    </row>
    <row r="40" spans="1:8" ht="12.75">
      <c r="A40" s="836"/>
      <c r="B40" s="837"/>
      <c r="C40" s="870"/>
      <c r="D40" s="870"/>
      <c r="E40" s="840"/>
      <c r="F40" s="870"/>
      <c r="G40" s="870"/>
      <c r="H40" s="840"/>
    </row>
    <row r="41" spans="1:8" ht="12.75">
      <c r="A41" s="836"/>
      <c r="B41" s="837"/>
      <c r="C41" s="870"/>
      <c r="D41" s="870"/>
      <c r="E41" s="840"/>
      <c r="F41" s="870"/>
      <c r="G41" s="870"/>
      <c r="H41" s="840"/>
    </row>
    <row r="42" spans="1:8" ht="12.75">
      <c r="A42" s="836"/>
      <c r="B42" s="837"/>
      <c r="C42" s="870"/>
      <c r="D42" s="870"/>
      <c r="E42" s="840"/>
      <c r="F42" s="870"/>
      <c r="G42" s="870"/>
      <c r="H42" s="840"/>
    </row>
    <row r="43" spans="1:8" ht="12.75">
      <c r="A43" s="836"/>
      <c r="B43" s="837"/>
      <c r="C43" s="870"/>
      <c r="D43" s="870"/>
      <c r="E43" s="840"/>
      <c r="F43" s="870"/>
      <c r="G43" s="870"/>
      <c r="H43" s="840"/>
    </row>
    <row r="44" spans="1:8" ht="12.75">
      <c r="A44" s="836"/>
      <c r="B44" s="837"/>
      <c r="C44" s="870"/>
      <c r="D44" s="870"/>
      <c r="E44" s="840"/>
      <c r="F44" s="870"/>
      <c r="G44" s="870"/>
      <c r="H44" s="840"/>
    </row>
    <row r="45" spans="1:8" ht="12.75">
      <c r="A45" s="836"/>
      <c r="C45" s="870"/>
      <c r="D45" s="870"/>
      <c r="E45" s="840"/>
      <c r="F45" s="870"/>
      <c r="G45" s="870"/>
      <c r="H45" s="840"/>
    </row>
    <row r="46" spans="1:8" ht="12.75">
      <c r="A46" s="836"/>
      <c r="C46" s="870"/>
      <c r="D46" s="870"/>
      <c r="E46" s="840"/>
      <c r="F46" s="870"/>
      <c r="G46" s="870"/>
      <c r="H46" s="840"/>
    </row>
    <row r="47" spans="1:8" ht="12.75">
      <c r="A47" s="836"/>
      <c r="E47" s="840"/>
      <c r="F47" s="870"/>
      <c r="G47" s="870"/>
      <c r="H47" s="840"/>
    </row>
    <row r="48" spans="1:8" ht="12.75">
      <c r="A48" s="836"/>
      <c r="E48" s="840"/>
      <c r="F48" s="870"/>
      <c r="G48" s="870"/>
      <c r="H48" s="840"/>
    </row>
    <row r="49" spans="1:8" ht="12.75">
      <c r="A49" s="836"/>
      <c r="E49" s="840"/>
      <c r="F49" s="870"/>
      <c r="G49" s="870"/>
      <c r="H49" s="840"/>
    </row>
    <row r="50" spans="1:8" ht="12.75">
      <c r="A50" s="836"/>
      <c r="E50" s="840"/>
      <c r="F50" s="870"/>
      <c r="G50" s="870"/>
      <c r="H50" s="840"/>
    </row>
    <row r="51" spans="1:8" ht="12.75">
      <c r="A51" s="836"/>
      <c r="E51" s="840"/>
      <c r="F51" s="870"/>
      <c r="G51" s="870"/>
      <c r="H51" s="840"/>
    </row>
    <row r="52" spans="1:8" ht="12.75">
      <c r="A52" s="836"/>
      <c r="E52" s="840"/>
      <c r="F52" s="870"/>
      <c r="G52" s="870"/>
      <c r="H52" s="840"/>
    </row>
    <row r="53" spans="1:8" ht="12.75">
      <c r="A53" s="836"/>
      <c r="E53" s="840"/>
      <c r="F53" s="870"/>
      <c r="G53" s="870"/>
      <c r="H53" s="840"/>
    </row>
    <row r="54" spans="1:8" ht="12.75">
      <c r="A54" s="836"/>
      <c r="E54" s="840"/>
      <c r="F54" s="870"/>
      <c r="G54" s="870"/>
      <c r="H54" s="840"/>
    </row>
    <row r="55" spans="1:8" ht="12.75">
      <c r="A55" s="836"/>
      <c r="E55" s="840"/>
      <c r="F55" s="870"/>
      <c r="G55" s="870"/>
      <c r="H55" s="840"/>
    </row>
    <row r="56" spans="1:8" ht="12.75">
      <c r="A56" s="836"/>
      <c r="E56" s="840"/>
      <c r="F56" s="870"/>
      <c r="G56" s="870"/>
      <c r="H56" s="840"/>
    </row>
    <row r="57" spans="1:8" ht="12.75">
      <c r="A57" s="836"/>
      <c r="E57" s="840"/>
      <c r="F57" s="870"/>
      <c r="G57" s="870"/>
      <c r="H57" s="840"/>
    </row>
    <row r="58" spans="1:8" ht="12.75">
      <c r="A58" s="836"/>
      <c r="E58" s="840"/>
      <c r="F58" s="870"/>
      <c r="G58" s="870"/>
      <c r="H58" s="840"/>
    </row>
    <row r="59" spans="1:8" ht="12.75">
      <c r="A59" s="836"/>
      <c r="E59" s="840"/>
      <c r="F59" s="870"/>
      <c r="G59" s="870"/>
      <c r="H59" s="840"/>
    </row>
    <row r="60" spans="1:8" ht="12.75">
      <c r="A60" s="836"/>
      <c r="E60" s="840"/>
      <c r="F60" s="870"/>
      <c r="G60" s="870"/>
      <c r="H60" s="840"/>
    </row>
    <row r="61" spans="1:8" ht="12.75">
      <c r="A61" s="836"/>
      <c r="E61" s="840"/>
      <c r="F61" s="870"/>
      <c r="G61" s="870"/>
      <c r="H61" s="840"/>
    </row>
    <row r="62" spans="1:8" ht="12.75">
      <c r="A62" s="836"/>
      <c r="E62" s="840"/>
      <c r="F62" s="870"/>
      <c r="G62" s="870"/>
      <c r="H62" s="840"/>
    </row>
    <row r="63" spans="1:8" ht="12.75">
      <c r="A63" s="836"/>
      <c r="E63" s="840"/>
      <c r="F63" s="870"/>
      <c r="G63" s="870"/>
      <c r="H63" s="840"/>
    </row>
    <row r="64" spans="1:8" ht="12.75">
      <c r="A64" s="836"/>
      <c r="E64" s="840"/>
      <c r="F64" s="870"/>
      <c r="G64" s="870"/>
      <c r="H64" s="840"/>
    </row>
    <row r="65" spans="1:8" ht="12.75">
      <c r="A65" s="836"/>
      <c r="E65" s="840"/>
      <c r="F65" s="870"/>
      <c r="G65" s="870"/>
      <c r="H65" s="840"/>
    </row>
    <row r="66" spans="1:8" ht="12.75">
      <c r="A66" s="836"/>
      <c r="E66" s="840"/>
      <c r="F66" s="870"/>
      <c r="G66" s="870"/>
      <c r="H66" s="840"/>
    </row>
    <row r="67" spans="1:8" ht="12.75">
      <c r="A67" s="836"/>
      <c r="E67" s="840"/>
      <c r="F67" s="870"/>
      <c r="G67" s="870"/>
      <c r="H67" s="840"/>
    </row>
    <row r="68" spans="1:8" ht="12.75">
      <c r="A68" s="836"/>
      <c r="E68" s="840"/>
      <c r="F68" s="870"/>
      <c r="G68" s="870"/>
      <c r="H68" s="840"/>
    </row>
    <row r="69" spans="1:8" ht="12.75">
      <c r="A69" s="836"/>
      <c r="E69" s="840"/>
      <c r="F69" s="870"/>
      <c r="G69" s="870"/>
      <c r="H69" s="840"/>
    </row>
    <row r="70" spans="1:8" ht="12.75">
      <c r="A70" s="836"/>
      <c r="E70" s="840"/>
      <c r="F70" s="870"/>
      <c r="G70" s="870"/>
      <c r="H70" s="840"/>
    </row>
    <row r="71" spans="1:8" ht="12.75">
      <c r="A71" s="836"/>
      <c r="E71" s="840"/>
      <c r="F71" s="870"/>
      <c r="G71" s="870"/>
      <c r="H71" s="840"/>
    </row>
    <row r="72" spans="1:8" ht="12.75">
      <c r="A72" s="836"/>
      <c r="E72" s="840"/>
      <c r="F72" s="870"/>
      <c r="G72" s="870"/>
      <c r="H72" s="840"/>
    </row>
    <row r="73" spans="1:8" ht="12.75">
      <c r="A73" s="836"/>
      <c r="E73" s="840"/>
      <c r="F73" s="870"/>
      <c r="G73" s="870"/>
      <c r="H73" s="840"/>
    </row>
    <row r="74" spans="1:8" ht="12.75">
      <c r="A74" s="836"/>
      <c r="E74" s="840"/>
      <c r="F74" s="870"/>
      <c r="G74" s="870"/>
      <c r="H74" s="840"/>
    </row>
    <row r="75" spans="1:8" ht="12.75">
      <c r="A75" s="836"/>
      <c r="E75" s="840"/>
      <c r="F75" s="870"/>
      <c r="G75" s="870"/>
      <c r="H75" s="840"/>
    </row>
    <row r="76" spans="1:8" ht="12.75">
      <c r="A76" s="836"/>
      <c r="E76" s="840"/>
      <c r="F76" s="870"/>
      <c r="G76" s="870"/>
      <c r="H76" s="840"/>
    </row>
    <row r="77" spans="1:8" ht="12.75">
      <c r="A77" s="836"/>
      <c r="E77" s="840"/>
      <c r="F77" s="870"/>
      <c r="G77" s="870"/>
      <c r="H77" s="840"/>
    </row>
    <row r="78" spans="1:8" ht="12.75">
      <c r="A78" s="836"/>
      <c r="E78" s="840"/>
      <c r="F78" s="870"/>
      <c r="G78" s="870"/>
      <c r="H78" s="840"/>
    </row>
    <row r="79" spans="1:8" ht="12.75">
      <c r="A79" s="836"/>
      <c r="E79" s="840"/>
      <c r="F79" s="870"/>
      <c r="G79" s="870"/>
      <c r="H79" s="840"/>
    </row>
    <row r="80" spans="1:8" ht="12.75">
      <c r="A80" s="836"/>
      <c r="E80" s="840"/>
      <c r="F80" s="870"/>
      <c r="G80" s="870"/>
      <c r="H80" s="840"/>
    </row>
    <row r="81" spans="1:8" ht="12.75">
      <c r="A81" s="836"/>
      <c r="E81" s="840"/>
      <c r="F81" s="870"/>
      <c r="G81" s="870"/>
      <c r="H81" s="840"/>
    </row>
    <row r="82" spans="1:8" ht="12.75">
      <c r="A82" s="836"/>
      <c r="E82" s="840"/>
      <c r="H82" s="840"/>
    </row>
    <row r="83" spans="1:8" ht="12.75">
      <c r="A83" s="836"/>
      <c r="E83" s="840"/>
      <c r="H83" s="840"/>
    </row>
    <row r="84" spans="1:8" ht="12.75">
      <c r="A84" s="836"/>
      <c r="E84" s="840"/>
      <c r="H84" s="840"/>
    </row>
    <row r="85" spans="1:8" ht="12.75">
      <c r="A85" s="836"/>
      <c r="E85" s="840"/>
      <c r="H85" s="840"/>
    </row>
    <row r="86" spans="1:8" ht="12.75">
      <c r="A86" s="836"/>
      <c r="E86" s="840"/>
      <c r="H86" s="840"/>
    </row>
    <row r="87" spans="1:8" ht="12.75">
      <c r="A87" s="836"/>
      <c r="E87" s="840"/>
      <c r="H87" s="840"/>
    </row>
    <row r="88" spans="1:8" ht="12.75">
      <c r="A88" s="836"/>
      <c r="E88" s="840"/>
      <c r="H88" s="840"/>
    </row>
    <row r="89" spans="1:8" ht="12.75">
      <c r="A89" s="836"/>
      <c r="E89" s="840"/>
      <c r="H89" s="840"/>
    </row>
    <row r="90" spans="5:8" ht="12.75">
      <c r="E90" s="840"/>
      <c r="H90" s="840"/>
    </row>
    <row r="91" spans="5:8" ht="12.75">
      <c r="E91" s="840"/>
      <c r="H91" s="840"/>
    </row>
    <row r="92" spans="5:8" ht="12.75">
      <c r="E92" s="840"/>
      <c r="H92" s="840"/>
    </row>
    <row r="93" spans="5:8" ht="12.75">
      <c r="E93" s="840"/>
      <c r="H93" s="840"/>
    </row>
    <row r="94" spans="5:8" ht="12.75">
      <c r="E94" s="840"/>
      <c r="H94" s="840"/>
    </row>
    <row r="95" spans="5:8" ht="12.75">
      <c r="E95" s="840"/>
      <c r="H95" s="840"/>
    </row>
    <row r="96" spans="5:8" ht="12.75">
      <c r="E96" s="840"/>
      <c r="H96" s="840"/>
    </row>
    <row r="97" spans="5:8" ht="12.75">
      <c r="E97" s="840"/>
      <c r="H97" s="840"/>
    </row>
    <row r="98" spans="5:8" ht="12.75">
      <c r="E98" s="840"/>
      <c r="H98" s="840"/>
    </row>
    <row r="99" spans="5:8" ht="12.75">
      <c r="E99" s="840"/>
      <c r="H99" s="840"/>
    </row>
    <row r="100" spans="5:8" ht="12.75">
      <c r="E100" s="840"/>
      <c r="H100" s="840"/>
    </row>
    <row r="101" spans="5:8" ht="12.75">
      <c r="E101" s="840"/>
      <c r="H101" s="840"/>
    </row>
    <row r="102" spans="5:8" ht="12.75">
      <c r="E102" s="840"/>
      <c r="H102" s="840"/>
    </row>
    <row r="103" spans="5:8" ht="12.75">
      <c r="E103" s="840"/>
      <c r="H103" s="840"/>
    </row>
    <row r="104" spans="5:8" ht="12.75">
      <c r="E104" s="840"/>
      <c r="H104" s="840"/>
    </row>
    <row r="105" spans="5:8" ht="12.75">
      <c r="E105" s="840"/>
      <c r="H105" s="840"/>
    </row>
    <row r="106" spans="5:8" ht="12.75">
      <c r="E106" s="840"/>
      <c r="H106" s="840"/>
    </row>
    <row r="107" spans="5:8" ht="12.75">
      <c r="E107" s="840"/>
      <c r="H107" s="840"/>
    </row>
    <row r="108" spans="5:8" ht="12.75">
      <c r="E108" s="840"/>
      <c r="H108" s="840"/>
    </row>
    <row r="109" spans="5:8" ht="12.75">
      <c r="E109" s="840"/>
      <c r="H109" s="840"/>
    </row>
    <row r="110" spans="5:8" ht="12.75">
      <c r="E110" s="840"/>
      <c r="H110" s="840"/>
    </row>
    <row r="111" spans="5:8" ht="12.75">
      <c r="E111" s="840"/>
      <c r="H111" s="840"/>
    </row>
    <row r="112" spans="5:8" ht="12.75">
      <c r="E112" s="840"/>
      <c r="H112" s="840"/>
    </row>
    <row r="113" spans="5:8" ht="12.75">
      <c r="E113" s="840"/>
      <c r="H113" s="840"/>
    </row>
    <row r="114" spans="5:8" ht="12.75">
      <c r="E114" s="840"/>
      <c r="H114" s="840"/>
    </row>
    <row r="115" spans="5:8" ht="12.75">
      <c r="E115" s="840"/>
      <c r="H115" s="840"/>
    </row>
    <row r="116" spans="5:8" ht="12.75">
      <c r="E116" s="840"/>
      <c r="H116" s="840"/>
    </row>
    <row r="117" spans="5:8" ht="12.75">
      <c r="E117" s="840"/>
      <c r="H117" s="840"/>
    </row>
    <row r="118" spans="5:8" ht="12.75">
      <c r="E118" s="840"/>
      <c r="H118" s="840"/>
    </row>
    <row r="119" spans="5:8" ht="12.75">
      <c r="E119" s="840"/>
      <c r="H119" s="840"/>
    </row>
    <row r="120" spans="5:8" ht="12.75">
      <c r="E120" s="840"/>
      <c r="H120" s="840"/>
    </row>
    <row r="121" spans="5:8" ht="12.75">
      <c r="E121" s="840"/>
      <c r="H121" s="840"/>
    </row>
    <row r="122" spans="5:8" ht="12.75">
      <c r="E122" s="840"/>
      <c r="H122" s="840"/>
    </row>
    <row r="123" spans="5:8" ht="12.75">
      <c r="E123" s="840"/>
      <c r="H123" s="840"/>
    </row>
    <row r="124" spans="5:8" ht="12.75">
      <c r="E124" s="840"/>
      <c r="H124" s="840"/>
    </row>
    <row r="125" spans="5:8" ht="12.75">
      <c r="E125" s="840"/>
      <c r="H125" s="840"/>
    </row>
    <row r="126" spans="5:8" ht="12.75">
      <c r="E126" s="840"/>
      <c r="H126" s="840"/>
    </row>
    <row r="127" spans="5:8" ht="12.75">
      <c r="E127" s="840"/>
      <c r="H127" s="840"/>
    </row>
    <row r="128" spans="5:8" ht="12.75">
      <c r="E128" s="840"/>
      <c r="H128" s="840"/>
    </row>
    <row r="129" spans="5:8" ht="12.75">
      <c r="E129" s="840"/>
      <c r="H129" s="840"/>
    </row>
    <row r="130" spans="5:8" ht="12.75">
      <c r="E130" s="840"/>
      <c r="H130" s="840"/>
    </row>
    <row r="131" spans="5:8" ht="12.75">
      <c r="E131" s="840"/>
      <c r="H131" s="840"/>
    </row>
    <row r="132" spans="5:8" ht="12.75">
      <c r="E132" s="840"/>
      <c r="H132" s="840"/>
    </row>
    <row r="133" spans="5:8" ht="12.75">
      <c r="E133" s="840"/>
      <c r="H133" s="840"/>
    </row>
    <row r="134" spans="5:8" ht="12.75">
      <c r="E134" s="840"/>
      <c r="H134" s="840"/>
    </row>
    <row r="135" spans="5:8" ht="12.75">
      <c r="E135" s="840"/>
      <c r="H135" s="840"/>
    </row>
    <row r="136" spans="5:8" ht="12.75">
      <c r="E136" s="840"/>
      <c r="H136" s="840"/>
    </row>
    <row r="137" spans="5:8" ht="12.75">
      <c r="E137" s="840"/>
      <c r="H137" s="840"/>
    </row>
    <row r="138" spans="5:8" ht="12.75">
      <c r="E138" s="840"/>
      <c r="H138" s="840"/>
    </row>
    <row r="139" spans="5:8" ht="12.75">
      <c r="E139" s="840"/>
      <c r="H139" s="840"/>
    </row>
    <row r="140" spans="5:8" ht="12.75">
      <c r="E140" s="840"/>
      <c r="H140" s="840"/>
    </row>
    <row r="141" spans="5:8" ht="12.75">
      <c r="E141" s="840"/>
      <c r="H141" s="840"/>
    </row>
    <row r="142" spans="5:8" ht="12.75">
      <c r="E142" s="840"/>
      <c r="H142" s="840"/>
    </row>
    <row r="143" spans="5:8" ht="12.75">
      <c r="E143" s="840"/>
      <c r="H143" s="840"/>
    </row>
    <row r="144" spans="5:8" ht="12.75">
      <c r="E144" s="840"/>
      <c r="H144" s="840"/>
    </row>
    <row r="145" spans="5:8" ht="12.75">
      <c r="E145" s="840"/>
      <c r="H145" s="840"/>
    </row>
    <row r="146" spans="5:8" ht="12.75">
      <c r="E146" s="840"/>
      <c r="H146" s="840"/>
    </row>
    <row r="147" spans="5:8" ht="12.75">
      <c r="E147" s="840"/>
      <c r="H147" s="840"/>
    </row>
    <row r="148" spans="5:8" ht="12.75">
      <c r="E148" s="840"/>
      <c r="H148" s="840"/>
    </row>
    <row r="149" spans="5:8" ht="12.75">
      <c r="E149" s="840"/>
      <c r="H149" s="840"/>
    </row>
    <row r="150" spans="5:8" ht="12.75">
      <c r="E150" s="840"/>
      <c r="H150" s="840"/>
    </row>
    <row r="151" spans="5:8" ht="12.75">
      <c r="E151" s="840"/>
      <c r="H151" s="840"/>
    </row>
    <row r="152" spans="5:8" ht="12.75">
      <c r="E152" s="840"/>
      <c r="H152" s="840"/>
    </row>
    <row r="153" spans="5:8" ht="12.75">
      <c r="E153" s="840"/>
      <c r="H153" s="840"/>
    </row>
    <row r="154" spans="5:8" ht="12.75">
      <c r="E154" s="840"/>
      <c r="H154" s="840"/>
    </row>
    <row r="155" spans="5:8" ht="12.75">
      <c r="E155" s="840"/>
      <c r="H155" s="840"/>
    </row>
    <row r="156" spans="5:8" ht="12.75">
      <c r="E156" s="840"/>
      <c r="H156" s="840"/>
    </row>
    <row r="157" spans="5:8" ht="12.75">
      <c r="E157" s="840"/>
      <c r="H157" s="840"/>
    </row>
    <row r="158" spans="5:8" ht="12.75">
      <c r="E158" s="840"/>
      <c r="H158" s="840"/>
    </row>
    <row r="159" spans="5:8" ht="12.75">
      <c r="E159" s="840"/>
      <c r="H159" s="840"/>
    </row>
    <row r="160" spans="5:8" ht="12.75">
      <c r="E160" s="840"/>
      <c r="H160" s="840"/>
    </row>
    <row r="161" spans="5:8" ht="12.75">
      <c r="E161" s="840"/>
      <c r="H161" s="840"/>
    </row>
    <row r="162" spans="5:8" ht="12.75">
      <c r="E162" s="840"/>
      <c r="H162" s="840"/>
    </row>
    <row r="163" spans="5:8" ht="12.75">
      <c r="E163" s="840"/>
      <c r="H163" s="840"/>
    </row>
    <row r="164" spans="5:8" ht="12.75">
      <c r="E164" s="840"/>
      <c r="H164" s="840"/>
    </row>
    <row r="165" spans="5:8" ht="12.75">
      <c r="E165" s="840"/>
      <c r="H165" s="840"/>
    </row>
    <row r="166" spans="5:8" ht="12.75">
      <c r="E166" s="840"/>
      <c r="H166" s="840"/>
    </row>
    <row r="167" spans="5:8" ht="12.75">
      <c r="E167" s="840"/>
      <c r="H167" s="840"/>
    </row>
    <row r="168" spans="5:8" ht="12.75">
      <c r="E168" s="840"/>
      <c r="H168" s="840"/>
    </row>
    <row r="169" spans="5:8" ht="12.75">
      <c r="E169" s="840"/>
      <c r="H169" s="840"/>
    </row>
    <row r="170" spans="5:8" ht="12.75">
      <c r="E170" s="840"/>
      <c r="H170" s="840"/>
    </row>
    <row r="171" spans="5:8" ht="12.75">
      <c r="E171" s="840"/>
      <c r="H171" s="840"/>
    </row>
    <row r="172" spans="5:8" ht="12.75">
      <c r="E172" s="840"/>
      <c r="H172" s="840"/>
    </row>
    <row r="173" spans="5:8" ht="12.75">
      <c r="E173" s="840"/>
      <c r="H173" s="840"/>
    </row>
    <row r="174" spans="5:8" ht="12.75">
      <c r="E174" s="840"/>
      <c r="H174" s="840"/>
    </row>
    <row r="175" spans="5:8" ht="12.75">
      <c r="E175" s="840"/>
      <c r="H175" s="840"/>
    </row>
    <row r="176" spans="5:8" ht="12.75">
      <c r="E176" s="840"/>
      <c r="H176" s="840"/>
    </row>
    <row r="177" spans="5:8" ht="12.75">
      <c r="E177" s="840"/>
      <c r="H177" s="840"/>
    </row>
    <row r="178" spans="5:8" ht="12.75">
      <c r="E178" s="840"/>
      <c r="H178" s="840"/>
    </row>
    <row r="179" spans="5:8" ht="12.75">
      <c r="E179" s="840"/>
      <c r="H179" s="840"/>
    </row>
    <row r="180" spans="5:8" ht="12.75">
      <c r="E180" s="840"/>
      <c r="H180" s="840"/>
    </row>
    <row r="181" spans="5:8" ht="12.75">
      <c r="E181" s="840"/>
      <c r="H181" s="840"/>
    </row>
    <row r="182" spans="5:8" ht="12.75">
      <c r="E182" s="840"/>
      <c r="H182" s="840"/>
    </row>
    <row r="183" spans="5:8" ht="12.75">
      <c r="E183" s="840"/>
      <c r="H183" s="840"/>
    </row>
    <row r="184" spans="5:8" ht="12.75">
      <c r="E184" s="840"/>
      <c r="H184" s="840"/>
    </row>
    <row r="185" spans="5:8" ht="12.75">
      <c r="E185" s="840"/>
      <c r="H185" s="840"/>
    </row>
    <row r="186" spans="5:8" ht="12.75">
      <c r="E186" s="840"/>
      <c r="H186" s="840"/>
    </row>
    <row r="187" spans="5:8" ht="12.75">
      <c r="E187" s="840"/>
      <c r="H187" s="840"/>
    </row>
    <row r="188" spans="5:8" ht="12.75">
      <c r="E188" s="840"/>
      <c r="H188" s="840"/>
    </row>
    <row r="189" spans="5:8" ht="12.75">
      <c r="E189" s="840"/>
      <c r="H189" s="840"/>
    </row>
    <row r="190" spans="5:8" ht="12.75">
      <c r="E190" s="840"/>
      <c r="H190" s="840"/>
    </row>
    <row r="191" spans="5:8" ht="12.75">
      <c r="E191" s="840"/>
      <c r="H191" s="840"/>
    </row>
    <row r="192" spans="5:8" ht="12.75">
      <c r="E192" s="840"/>
      <c r="H192" s="840"/>
    </row>
    <row r="193" spans="5:8" ht="12.75">
      <c r="E193" s="840"/>
      <c r="H193" s="840"/>
    </row>
    <row r="194" spans="5:8" ht="12.75">
      <c r="E194" s="840"/>
      <c r="H194" s="840"/>
    </row>
    <row r="195" spans="5:8" ht="12.75">
      <c r="E195" s="840"/>
      <c r="H195" s="840"/>
    </row>
    <row r="196" spans="5:8" ht="12.75">
      <c r="E196" s="840"/>
      <c r="H196" s="840"/>
    </row>
    <row r="197" spans="5:8" ht="12.75">
      <c r="E197" s="840"/>
      <c r="H197" s="840"/>
    </row>
    <row r="198" spans="5:8" ht="12.75">
      <c r="E198" s="840"/>
      <c r="H198" s="840"/>
    </row>
    <row r="199" spans="5:8" ht="12.75">
      <c r="E199" s="840"/>
      <c r="H199" s="840"/>
    </row>
    <row r="200" ht="12.75">
      <c r="H200" s="840"/>
    </row>
  </sheetData>
  <sheetProtection password="CF53" sheet="1" formatRows="0" insertColumns="0" insertRows="0" insertHyperlinks="0" deleteColumns="0" deleteRows="0" sort="0" autoFilter="0" pivotTables="0"/>
  <mergeCells count="7">
    <mergeCell ref="I36:J36"/>
    <mergeCell ref="G1:H1"/>
    <mergeCell ref="A5:A6"/>
    <mergeCell ref="B5:B6"/>
    <mergeCell ref="C5:E5"/>
    <mergeCell ref="F5:H5"/>
    <mergeCell ref="A3:H3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G26"/>
  <sheetViews>
    <sheetView showGridLines="0" view="pageBreakPreview" zoomScaleSheetLayoutView="100" zoomScalePageLayoutView="0" workbookViewId="0" topLeftCell="A2">
      <selection activeCell="J10" sqref="J10"/>
    </sheetView>
  </sheetViews>
  <sheetFormatPr defaultColWidth="9.00390625" defaultRowHeight="12.75"/>
  <cols>
    <col min="1" max="1" width="4.75390625" style="368" bestFit="1" customWidth="1"/>
    <col min="2" max="2" width="40.625" style="357" customWidth="1"/>
    <col min="3" max="3" width="10.375" style="357" customWidth="1"/>
    <col min="4" max="4" width="12.625" style="362" customWidth="1"/>
    <col min="5" max="5" width="12.125" style="362" customWidth="1"/>
    <col min="6" max="6" width="6.375" style="362" customWidth="1"/>
    <col min="7" max="7" width="12.00390625" style="357" hidden="1" customWidth="1"/>
    <col min="8" max="16384" width="9.125" style="357" customWidth="1"/>
  </cols>
  <sheetData>
    <row r="1" spans="1:6" s="97" customFormat="1" ht="12.75">
      <c r="A1" s="100"/>
      <c r="D1" s="604"/>
      <c r="E1" s="1988" t="s">
        <v>604</v>
      </c>
      <c r="F1" s="1988"/>
    </row>
    <row r="2" spans="1:6" s="97" customFormat="1" ht="23.25" customHeight="1">
      <c r="A2" s="100"/>
      <c r="D2" s="604"/>
      <c r="E2" s="605"/>
      <c r="F2" s="605"/>
    </row>
    <row r="3" spans="1:6" s="97" customFormat="1" ht="12" customHeight="1">
      <c r="A3" s="1967" t="s">
        <v>266</v>
      </c>
      <c r="B3" s="1967"/>
      <c r="C3" s="1967"/>
      <c r="D3" s="1967"/>
      <c r="E3" s="1967"/>
      <c r="F3" s="1967"/>
    </row>
    <row r="4" spans="1:6" s="97" customFormat="1" ht="4.5" customHeight="1">
      <c r="A4" s="96"/>
      <c r="B4" s="96"/>
      <c r="C4" s="96"/>
      <c r="D4" s="99"/>
      <c r="E4" s="99"/>
      <c r="F4" s="99"/>
    </row>
    <row r="5" spans="1:6" s="97" customFormat="1" ht="12" customHeight="1" thickBot="1">
      <c r="A5" s="100"/>
      <c r="D5" s="604"/>
      <c r="E5" s="604"/>
      <c r="F5" s="604" t="s">
        <v>208</v>
      </c>
    </row>
    <row r="6" spans="1:6" s="97" customFormat="1" ht="31.5" customHeight="1">
      <c r="A6" s="567" t="s">
        <v>1219</v>
      </c>
      <c r="B6" s="568" t="s">
        <v>210</v>
      </c>
      <c r="C6" s="569" t="s">
        <v>114</v>
      </c>
      <c r="D6" s="569" t="s">
        <v>211</v>
      </c>
      <c r="E6" s="568" t="s">
        <v>212</v>
      </c>
      <c r="F6" s="570" t="s">
        <v>213</v>
      </c>
    </row>
    <row r="7" spans="1:6" s="574" customFormat="1" ht="12" customHeight="1" thickBot="1">
      <c r="A7" s="571">
        <v>1</v>
      </c>
      <c r="B7" s="572">
        <v>2</v>
      </c>
      <c r="C7" s="572">
        <v>3</v>
      </c>
      <c r="D7" s="572">
        <v>4</v>
      </c>
      <c r="E7" s="572">
        <v>5</v>
      </c>
      <c r="F7" s="573">
        <v>6</v>
      </c>
    </row>
    <row r="8" spans="1:6" s="97" customFormat="1" ht="24.75" customHeight="1">
      <c r="A8" s="575" t="s">
        <v>816</v>
      </c>
      <c r="B8" s="1986" t="s">
        <v>253</v>
      </c>
      <c r="C8" s="1987"/>
      <c r="D8" s="576">
        <f>SUM(D9,D10,D11,D12,D13)</f>
        <v>28743246</v>
      </c>
      <c r="E8" s="1926">
        <f>SUM(E9,E10,E11,E12,E13)</f>
        <v>27836892.990000002</v>
      </c>
      <c r="F8" s="577">
        <f aca="true" t="shared" si="0" ref="F8:F20">E8/D8*100</f>
        <v>96.84672701893169</v>
      </c>
    </row>
    <row r="9" spans="1:7" s="97" customFormat="1" ht="33.75" customHeight="1">
      <c r="A9" s="578" t="s">
        <v>1222</v>
      </c>
      <c r="B9" s="579" t="s">
        <v>553</v>
      </c>
      <c r="C9" s="580" t="s">
        <v>552</v>
      </c>
      <c r="D9" s="581">
        <v>14000000</v>
      </c>
      <c r="E9" s="581">
        <v>14000000</v>
      </c>
      <c r="F9" s="582">
        <f t="shared" si="0"/>
        <v>100</v>
      </c>
      <c r="G9" s="583">
        <f aca="true" t="shared" si="1" ref="G9:G18">E9-D9</f>
        <v>0</v>
      </c>
    </row>
    <row r="10" spans="1:7" s="97" customFormat="1" ht="50.25" customHeight="1">
      <c r="A10" s="578" t="s">
        <v>1223</v>
      </c>
      <c r="B10" s="579" t="s">
        <v>1103</v>
      </c>
      <c r="C10" s="580" t="s">
        <v>1102</v>
      </c>
      <c r="D10" s="581">
        <v>7500</v>
      </c>
      <c r="E10" s="581">
        <v>0</v>
      </c>
      <c r="F10" s="582">
        <v>0</v>
      </c>
      <c r="G10" s="583">
        <f t="shared" si="1"/>
        <v>-7500</v>
      </c>
    </row>
    <row r="11" spans="1:7" s="97" customFormat="1" ht="34.5" customHeight="1">
      <c r="A11" s="578" t="s">
        <v>1548</v>
      </c>
      <c r="B11" s="101" t="s">
        <v>795</v>
      </c>
      <c r="C11" s="584" t="s">
        <v>794</v>
      </c>
      <c r="D11" s="585">
        <f>3368616+8015283</f>
        <v>11383899</v>
      </c>
      <c r="E11" s="2190">
        <v>11384294.32</v>
      </c>
      <c r="F11" s="586">
        <f t="shared" si="0"/>
        <v>100.00347262392262</v>
      </c>
      <c r="G11" s="583">
        <f t="shared" si="1"/>
        <v>395.320000000298</v>
      </c>
    </row>
    <row r="12" spans="1:7" s="97" customFormat="1" ht="34.5" customHeight="1">
      <c r="A12" s="587" t="s">
        <v>1555</v>
      </c>
      <c r="B12" s="588" t="s">
        <v>1104</v>
      </c>
      <c r="C12" s="584" t="s">
        <v>1105</v>
      </c>
      <c r="D12" s="589">
        <v>35800</v>
      </c>
      <c r="E12" s="589">
        <v>0</v>
      </c>
      <c r="F12" s="586">
        <f t="shared" si="0"/>
        <v>0</v>
      </c>
      <c r="G12" s="583"/>
    </row>
    <row r="13" spans="1:7" s="97" customFormat="1" ht="34.5" customHeight="1" thickBot="1">
      <c r="A13" s="587" t="s">
        <v>1556</v>
      </c>
      <c r="B13" s="588" t="s">
        <v>1254</v>
      </c>
      <c r="C13" s="590" t="s">
        <v>1255</v>
      </c>
      <c r="D13" s="589">
        <f>3316047</f>
        <v>3316047</v>
      </c>
      <c r="E13" s="589">
        <v>2452598.67</v>
      </c>
      <c r="F13" s="586" t="s">
        <v>1195</v>
      </c>
      <c r="G13" s="583"/>
    </row>
    <row r="14" spans="1:7" s="97" customFormat="1" ht="24.75" customHeight="1">
      <c r="A14" s="575" t="s">
        <v>817</v>
      </c>
      <c r="B14" s="1986" t="s">
        <v>254</v>
      </c>
      <c r="C14" s="1987"/>
      <c r="D14" s="576">
        <f>SUM(D16,D17,D20)</f>
        <v>5800000</v>
      </c>
      <c r="E14" s="576">
        <f>SUM(E16,E17,E20)</f>
        <v>5800000</v>
      </c>
      <c r="F14" s="577">
        <f t="shared" si="0"/>
        <v>100</v>
      </c>
      <c r="G14" s="583">
        <f t="shared" si="1"/>
        <v>0</v>
      </c>
    </row>
    <row r="15" spans="1:7" s="97" customFormat="1" ht="54.75" customHeight="1" hidden="1">
      <c r="A15" s="591" t="s">
        <v>1222</v>
      </c>
      <c r="B15" s="101" t="s">
        <v>327</v>
      </c>
      <c r="C15" s="584" t="s">
        <v>326</v>
      </c>
      <c r="D15" s="585"/>
      <c r="E15" s="585"/>
      <c r="F15" s="586" t="e">
        <f t="shared" si="0"/>
        <v>#DIV/0!</v>
      </c>
      <c r="G15" s="583">
        <f t="shared" si="1"/>
        <v>0</v>
      </c>
    </row>
    <row r="16" spans="1:7" s="97" customFormat="1" ht="33" customHeight="1">
      <c r="A16" s="591" t="s">
        <v>1222</v>
      </c>
      <c r="B16" s="101" t="s">
        <v>733</v>
      </c>
      <c r="C16" s="584" t="s">
        <v>116</v>
      </c>
      <c r="D16" s="585">
        <v>3000000</v>
      </c>
      <c r="E16" s="585">
        <v>3000000</v>
      </c>
      <c r="F16" s="586">
        <f t="shared" si="0"/>
        <v>100</v>
      </c>
      <c r="G16" s="583">
        <f t="shared" si="1"/>
        <v>0</v>
      </c>
    </row>
    <row r="17" spans="1:7" s="97" customFormat="1" ht="30.75" customHeight="1">
      <c r="A17" s="591" t="s">
        <v>1223</v>
      </c>
      <c r="B17" s="101" t="s">
        <v>201</v>
      </c>
      <c r="C17" s="584" t="s">
        <v>115</v>
      </c>
      <c r="D17" s="585">
        <f>SUM(D18)</f>
        <v>2800000</v>
      </c>
      <c r="E17" s="585">
        <v>2800000</v>
      </c>
      <c r="F17" s="586">
        <f t="shared" si="0"/>
        <v>100</v>
      </c>
      <c r="G17" s="583">
        <f t="shared" si="1"/>
        <v>0</v>
      </c>
    </row>
    <row r="18" spans="1:7" s="102" customFormat="1" ht="19.5" customHeight="1">
      <c r="A18" s="592" t="s">
        <v>716</v>
      </c>
      <c r="B18" s="593" t="s">
        <v>80</v>
      </c>
      <c r="C18" s="594" t="s">
        <v>115</v>
      </c>
      <c r="D18" s="595">
        <v>2800000</v>
      </c>
      <c r="E18" s="595">
        <v>2800000</v>
      </c>
      <c r="F18" s="596">
        <f t="shared" si="0"/>
        <v>100</v>
      </c>
      <c r="G18" s="583">
        <f t="shared" si="1"/>
        <v>0</v>
      </c>
    </row>
    <row r="19" spans="1:7" s="102" customFormat="1" ht="40.5" customHeight="1" hidden="1">
      <c r="A19" s="592" t="s">
        <v>717</v>
      </c>
      <c r="B19" s="593" t="s">
        <v>719</v>
      </c>
      <c r="C19" s="597" t="s">
        <v>718</v>
      </c>
      <c r="D19" s="595"/>
      <c r="E19" s="595"/>
      <c r="F19" s="596" t="e">
        <f t="shared" si="0"/>
        <v>#DIV/0!</v>
      </c>
      <c r="G19" s="598"/>
    </row>
    <row r="20" spans="1:7" s="97" customFormat="1" ht="19.5" customHeight="1" hidden="1" thickBot="1">
      <c r="A20" s="599" t="s">
        <v>1548</v>
      </c>
      <c r="B20" s="600" t="s">
        <v>720</v>
      </c>
      <c r="C20" s="601" t="s">
        <v>721</v>
      </c>
      <c r="D20" s="602">
        <v>0</v>
      </c>
      <c r="E20" s="602">
        <v>0</v>
      </c>
      <c r="F20" s="603" t="e">
        <f t="shared" si="0"/>
        <v>#DIV/0!</v>
      </c>
      <c r="G20" s="583"/>
    </row>
    <row r="21" spans="1:6" s="97" customFormat="1" ht="12.75">
      <c r="A21" s="100"/>
      <c r="D21" s="604"/>
      <c r="E21" s="604"/>
      <c r="F21" s="604"/>
    </row>
    <row r="22" spans="1:6" s="583" customFormat="1" ht="12.75" hidden="1">
      <c r="A22" s="606"/>
      <c r="B22" s="583" t="s">
        <v>963</v>
      </c>
      <c r="D22" s="607">
        <v>54971639</v>
      </c>
      <c r="E22" s="607">
        <v>54935839.03</v>
      </c>
      <c r="F22" s="607"/>
    </row>
    <row r="23" spans="1:6" s="609" customFormat="1" ht="12.75" hidden="1">
      <c r="A23" s="608"/>
      <c r="B23" s="609" t="s">
        <v>1445</v>
      </c>
      <c r="D23" s="610">
        <f>D8-D22</f>
        <v>-26228393</v>
      </c>
      <c r="E23" s="610">
        <f>E8-E22</f>
        <v>-27098946.04</v>
      </c>
      <c r="F23" s="610"/>
    </row>
    <row r="24" spans="1:6" s="583" customFormat="1" ht="12.75" hidden="1">
      <c r="A24" s="606"/>
      <c r="D24" s="607"/>
      <c r="E24" s="607"/>
      <c r="F24" s="607"/>
    </row>
    <row r="25" spans="1:6" s="583" customFormat="1" ht="12.75" hidden="1">
      <c r="A25" s="606"/>
      <c r="B25" s="583" t="s">
        <v>304</v>
      </c>
      <c r="D25" s="607">
        <v>10800000</v>
      </c>
      <c r="E25" s="607">
        <v>10800000</v>
      </c>
      <c r="F25" s="607"/>
    </row>
    <row r="26" spans="1:6" s="609" customFormat="1" ht="12.75" hidden="1">
      <c r="A26" s="608"/>
      <c r="B26" s="609" t="s">
        <v>1445</v>
      </c>
      <c r="D26" s="610">
        <f>D14-D25</f>
        <v>-5000000</v>
      </c>
      <c r="E26" s="610">
        <f>E14-E25</f>
        <v>-5000000</v>
      </c>
      <c r="F26" s="610"/>
    </row>
  </sheetData>
  <sheetProtection password="CF53" sheet="1" formatRows="0" insertColumns="0" insertRows="0" insertHyperlinks="0" deleteColumns="0" deleteRows="0" sort="0" autoFilter="0" pivotTables="0"/>
  <mergeCells count="4">
    <mergeCell ref="A3:F3"/>
    <mergeCell ref="B8:C8"/>
    <mergeCell ref="E1:F1"/>
    <mergeCell ref="B14:C1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I763"/>
  <sheetViews>
    <sheetView view="pageBreakPreview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I452" sqref="I452"/>
    </sheetView>
  </sheetViews>
  <sheetFormatPr defaultColWidth="9.00390625" defaultRowHeight="12.75"/>
  <cols>
    <col min="1" max="1" width="5.625" style="470" customWidth="1"/>
    <col min="2" max="2" width="6.375" style="470" customWidth="1"/>
    <col min="3" max="3" width="5.125" style="470" customWidth="1"/>
    <col min="4" max="4" width="40.25390625" style="471" customWidth="1"/>
    <col min="5" max="5" width="13.375" style="393" customWidth="1"/>
    <col min="6" max="6" width="13.00390625" style="393" customWidth="1"/>
    <col min="7" max="7" width="6.375" style="468" customWidth="1"/>
    <col min="8" max="8" width="9.125" style="393" customWidth="1"/>
    <col min="9" max="9" width="29.875" style="393" customWidth="1"/>
    <col min="10" max="16384" width="9.125" style="393" customWidth="1"/>
  </cols>
  <sheetData>
    <row r="1" spans="1:7" s="97" customFormat="1" ht="12.75">
      <c r="A1" s="611"/>
      <c r="B1" s="611"/>
      <c r="C1" s="611"/>
      <c r="D1" s="612"/>
      <c r="E1" s="612"/>
      <c r="F1" s="1963" t="s">
        <v>917</v>
      </c>
      <c r="G1" s="1963"/>
    </row>
    <row r="2" spans="1:7" s="97" customFormat="1" ht="17.25" customHeight="1">
      <c r="A2" s="611"/>
      <c r="B2" s="611"/>
      <c r="C2" s="611"/>
      <c r="E2" s="612"/>
      <c r="G2" s="613"/>
    </row>
    <row r="3" spans="1:7" s="98" customFormat="1" ht="16.5" customHeight="1">
      <c r="A3" s="1964" t="s">
        <v>1180</v>
      </c>
      <c r="B3" s="1964"/>
      <c r="C3" s="1964"/>
      <c r="D3" s="1964"/>
      <c r="E3" s="1964"/>
      <c r="F3" s="1964"/>
      <c r="G3" s="1964"/>
    </row>
    <row r="4" spans="1:7" s="97" customFormat="1" ht="13.5" thickBot="1">
      <c r="A4" s="611"/>
      <c r="B4" s="611"/>
      <c r="C4" s="611"/>
      <c r="D4" s="612"/>
      <c r="G4" s="613"/>
    </row>
    <row r="5" spans="1:7" s="96" customFormat="1" ht="15" customHeight="1">
      <c r="A5" s="615" t="s">
        <v>125</v>
      </c>
      <c r="B5" s="616" t="s">
        <v>209</v>
      </c>
      <c r="C5" s="616" t="s">
        <v>130</v>
      </c>
      <c r="D5" s="616" t="s">
        <v>210</v>
      </c>
      <c r="E5" s="617" t="s">
        <v>211</v>
      </c>
      <c r="F5" s="568" t="s">
        <v>212</v>
      </c>
      <c r="G5" s="618" t="s">
        <v>213</v>
      </c>
    </row>
    <row r="6" spans="1:7" s="623" customFormat="1" ht="13.5" customHeight="1" thickBot="1">
      <c r="A6" s="619">
        <v>1</v>
      </c>
      <c r="B6" s="620">
        <v>2</v>
      </c>
      <c r="C6" s="620">
        <v>3</v>
      </c>
      <c r="D6" s="620">
        <v>4</v>
      </c>
      <c r="E6" s="621">
        <v>5</v>
      </c>
      <c r="F6" s="572">
        <v>6</v>
      </c>
      <c r="G6" s="622">
        <v>7</v>
      </c>
    </row>
    <row r="7" spans="1:7" s="763" customFormat="1" ht="22.5" customHeight="1">
      <c r="A7" s="1989" t="s">
        <v>1158</v>
      </c>
      <c r="B7" s="1990"/>
      <c r="C7" s="1990"/>
      <c r="D7" s="1991"/>
      <c r="E7" s="576">
        <f>SUM(E8,E11,E16,E19,E23,E26,E50,E69,E93,E104,E136,E143,E160,E200,E218,E254,E272,E333,E354,E362,E400,E422)</f>
        <v>153136268.57</v>
      </c>
      <c r="F7" s="576">
        <f>SUM(F8,F11,F16,F19,F23,F26,F50,F69,F93,F104,F136,F143,F160,F200,F218,F254,F272,F333,F354,F362,F400,F422)</f>
        <v>148139663.29</v>
      </c>
      <c r="G7" s="762">
        <f aca="true" t="shared" si="0" ref="G7:G14">F7/E7*100</f>
        <v>96.73715095276988</v>
      </c>
    </row>
    <row r="8" spans="1:7" s="629" customFormat="1" ht="16.5" customHeight="1">
      <c r="A8" s="624" t="s">
        <v>214</v>
      </c>
      <c r="B8" s="625"/>
      <c r="C8" s="625"/>
      <c r="D8" s="626" t="s">
        <v>1696</v>
      </c>
      <c r="E8" s="627">
        <f>SUM(E9)</f>
        <v>37123.57</v>
      </c>
      <c r="F8" s="627">
        <f>SUM(F9)</f>
        <v>37123.57</v>
      </c>
      <c r="G8" s="628">
        <f t="shared" si="0"/>
        <v>100</v>
      </c>
    </row>
    <row r="9" spans="1:7" s="635" customFormat="1" ht="19.5" customHeight="1">
      <c r="A9" s="630"/>
      <c r="B9" s="631" t="s">
        <v>1701</v>
      </c>
      <c r="C9" s="631"/>
      <c r="D9" s="632" t="s">
        <v>215</v>
      </c>
      <c r="E9" s="633">
        <f>SUM(E10)</f>
        <v>37123.57</v>
      </c>
      <c r="F9" s="633">
        <f>SUM(F10)</f>
        <v>37123.57</v>
      </c>
      <c r="G9" s="634">
        <f t="shared" si="0"/>
        <v>100</v>
      </c>
    </row>
    <row r="10" spans="1:7" s="642" customFormat="1" ht="55.5" customHeight="1">
      <c r="A10" s="636"/>
      <c r="B10" s="637"/>
      <c r="C10" s="638">
        <v>2010</v>
      </c>
      <c r="D10" s="639" t="s">
        <v>382</v>
      </c>
      <c r="E10" s="640">
        <v>37123.57</v>
      </c>
      <c r="F10" s="640">
        <v>37123.57</v>
      </c>
      <c r="G10" s="641">
        <f t="shared" si="0"/>
        <v>100</v>
      </c>
    </row>
    <row r="11" spans="1:7" s="646" customFormat="1" ht="18" customHeight="1">
      <c r="A11" s="624" t="s">
        <v>216</v>
      </c>
      <c r="B11" s="643"/>
      <c r="C11" s="643"/>
      <c r="D11" s="644" t="s">
        <v>131</v>
      </c>
      <c r="E11" s="645">
        <f>SUM(E12)</f>
        <v>16700</v>
      </c>
      <c r="F11" s="645">
        <f>SUM(F12)</f>
        <v>13554.800000000001</v>
      </c>
      <c r="G11" s="628">
        <f t="shared" si="0"/>
        <v>81.16646706586828</v>
      </c>
    </row>
    <row r="12" spans="1:7" s="650" customFormat="1" ht="21" customHeight="1">
      <c r="A12" s="630"/>
      <c r="B12" s="647" t="s">
        <v>217</v>
      </c>
      <c r="C12" s="647"/>
      <c r="D12" s="648" t="s">
        <v>215</v>
      </c>
      <c r="E12" s="649">
        <f>SUM(E13,E14,E15)</f>
        <v>16700</v>
      </c>
      <c r="F12" s="649">
        <f>SUM(F13,F14,F15)</f>
        <v>13554.800000000001</v>
      </c>
      <c r="G12" s="634">
        <f t="shared" si="0"/>
        <v>81.16646706586828</v>
      </c>
    </row>
    <row r="13" spans="1:7" s="654" customFormat="1" ht="21" customHeight="1">
      <c r="A13" s="636"/>
      <c r="B13" s="651"/>
      <c r="C13" s="651" t="s">
        <v>989</v>
      </c>
      <c r="D13" s="652" t="s">
        <v>1157</v>
      </c>
      <c r="E13" s="653">
        <v>1700</v>
      </c>
      <c r="F13" s="653">
        <v>1666.95</v>
      </c>
      <c r="G13" s="641">
        <f t="shared" si="0"/>
        <v>98.05588235294118</v>
      </c>
    </row>
    <row r="14" spans="1:7" s="654" customFormat="1" ht="21" customHeight="1">
      <c r="A14" s="636"/>
      <c r="B14" s="651"/>
      <c r="C14" s="651" t="s">
        <v>972</v>
      </c>
      <c r="D14" s="655" t="s">
        <v>971</v>
      </c>
      <c r="E14" s="653">
        <v>15000</v>
      </c>
      <c r="F14" s="653">
        <v>11847.27</v>
      </c>
      <c r="G14" s="641">
        <f t="shared" si="0"/>
        <v>78.9818</v>
      </c>
    </row>
    <row r="15" spans="1:7" s="654" customFormat="1" ht="18" customHeight="1">
      <c r="A15" s="636"/>
      <c r="B15" s="651"/>
      <c r="C15" s="651" t="s">
        <v>986</v>
      </c>
      <c r="D15" s="655" t="s">
        <v>1161</v>
      </c>
      <c r="E15" s="653">
        <v>0</v>
      </c>
      <c r="F15" s="653">
        <v>40.58</v>
      </c>
      <c r="G15" s="641" t="s">
        <v>1195</v>
      </c>
    </row>
    <row r="16" spans="1:7" s="389" customFormat="1" ht="29.25" customHeight="1" hidden="1">
      <c r="A16" s="375" t="s">
        <v>399</v>
      </c>
      <c r="B16" s="386"/>
      <c r="C16" s="386"/>
      <c r="D16" s="399" t="s">
        <v>324</v>
      </c>
      <c r="E16" s="388">
        <f>SUM(E17)</f>
        <v>0</v>
      </c>
      <c r="F16" s="388">
        <f>SUM(F17)</f>
        <v>0</v>
      </c>
      <c r="G16" s="376" t="s">
        <v>1195</v>
      </c>
    </row>
    <row r="17" spans="1:7" ht="21" customHeight="1" hidden="1">
      <c r="A17" s="377"/>
      <c r="B17" s="390" t="s">
        <v>1704</v>
      </c>
      <c r="C17" s="390"/>
      <c r="D17" s="391" t="s">
        <v>1705</v>
      </c>
      <c r="E17" s="392">
        <f>SUM(E18,E23,E24)</f>
        <v>0</v>
      </c>
      <c r="F17" s="392">
        <f>SUM(F18,F23,F24)</f>
        <v>0</v>
      </c>
      <c r="G17" s="380" t="s">
        <v>1195</v>
      </c>
    </row>
    <row r="18" spans="1:7" s="397" customFormat="1" ht="21" customHeight="1" hidden="1">
      <c r="A18" s="381"/>
      <c r="B18" s="394"/>
      <c r="C18" s="394" t="s">
        <v>987</v>
      </c>
      <c r="D18" s="395" t="s">
        <v>1160</v>
      </c>
      <c r="E18" s="396">
        <v>0</v>
      </c>
      <c r="F18" s="396">
        <v>0</v>
      </c>
      <c r="G18" s="385" t="s">
        <v>1195</v>
      </c>
    </row>
    <row r="19" spans="1:7" s="646" customFormat="1" ht="19.5" customHeight="1" hidden="1">
      <c r="A19" s="624" t="s">
        <v>218</v>
      </c>
      <c r="B19" s="643"/>
      <c r="C19" s="643"/>
      <c r="D19" s="644" t="s">
        <v>1706</v>
      </c>
      <c r="E19" s="645">
        <f>SUM(E20)</f>
        <v>0</v>
      </c>
      <c r="F19" s="645">
        <f>SUM(F20)</f>
        <v>0</v>
      </c>
      <c r="G19" s="628" t="s">
        <v>1195</v>
      </c>
    </row>
    <row r="20" spans="1:7" s="650" customFormat="1" ht="21.75" customHeight="1" hidden="1">
      <c r="A20" s="630"/>
      <c r="B20" s="647" t="s">
        <v>1712</v>
      </c>
      <c r="C20" s="647"/>
      <c r="D20" s="648" t="s">
        <v>215</v>
      </c>
      <c r="E20" s="664">
        <f>SUM(E21,E22)</f>
        <v>0</v>
      </c>
      <c r="F20" s="664">
        <f>SUM(F21,F22)</f>
        <v>0</v>
      </c>
      <c r="G20" s="665" t="s">
        <v>1195</v>
      </c>
    </row>
    <row r="21" spans="1:7" s="654" customFormat="1" ht="29.25" customHeight="1" hidden="1">
      <c r="A21" s="636"/>
      <c r="B21" s="651"/>
      <c r="C21" s="651" t="s">
        <v>988</v>
      </c>
      <c r="D21" s="655" t="s">
        <v>436</v>
      </c>
      <c r="E21" s="666">
        <v>0</v>
      </c>
      <c r="F21" s="653">
        <v>0</v>
      </c>
      <c r="G21" s="641" t="s">
        <v>1195</v>
      </c>
    </row>
    <row r="22" spans="1:7" s="663" customFormat="1" ht="29.25" customHeight="1" hidden="1">
      <c r="A22" s="656"/>
      <c r="B22" s="657"/>
      <c r="C22" s="658" t="s">
        <v>435</v>
      </c>
      <c r="D22" s="659" t="s">
        <v>434</v>
      </c>
      <c r="E22" s="660">
        <v>0</v>
      </c>
      <c r="F22" s="661">
        <v>0</v>
      </c>
      <c r="G22" s="641" t="s">
        <v>1195</v>
      </c>
    </row>
    <row r="23" spans="1:7" s="389" customFormat="1" ht="19.5" customHeight="1" hidden="1">
      <c r="A23" s="375" t="s">
        <v>290</v>
      </c>
      <c r="B23" s="386"/>
      <c r="C23" s="386"/>
      <c r="D23" s="387" t="s">
        <v>1088</v>
      </c>
      <c r="E23" s="388">
        <f>E25</f>
        <v>0</v>
      </c>
      <c r="F23" s="388">
        <f>F24</f>
        <v>0</v>
      </c>
      <c r="G23" s="376" t="s">
        <v>1195</v>
      </c>
    </row>
    <row r="24" spans="1:7" ht="21.75" customHeight="1" hidden="1">
      <c r="A24" s="377"/>
      <c r="B24" s="390" t="s">
        <v>1106</v>
      </c>
      <c r="C24" s="390"/>
      <c r="D24" s="391" t="s">
        <v>215</v>
      </c>
      <c r="E24" s="365">
        <f>E25</f>
        <v>0</v>
      </c>
      <c r="F24" s="392">
        <f>F25</f>
        <v>0</v>
      </c>
      <c r="G24" s="380" t="s">
        <v>1195</v>
      </c>
    </row>
    <row r="25" spans="1:7" s="397" customFormat="1" ht="29.25" customHeight="1" hidden="1">
      <c r="A25" s="381"/>
      <c r="B25" s="394"/>
      <c r="C25" s="394"/>
      <c r="D25" s="398"/>
      <c r="E25" s="400">
        <v>0</v>
      </c>
      <c r="F25" s="396">
        <v>0</v>
      </c>
      <c r="G25" s="385" t="s">
        <v>1195</v>
      </c>
    </row>
    <row r="26" spans="1:7" s="650" customFormat="1" ht="19.5" customHeight="1">
      <c r="A26" s="624" t="s">
        <v>310</v>
      </c>
      <c r="B26" s="643"/>
      <c r="C26" s="643"/>
      <c r="D26" s="670" t="s">
        <v>311</v>
      </c>
      <c r="E26" s="671">
        <f>SUM(E27,E29,E41)</f>
        <v>956805</v>
      </c>
      <c r="F26" s="672">
        <f>SUM(F27,F29,F41)</f>
        <v>3861305.46</v>
      </c>
      <c r="G26" s="673">
        <f>F26/E26*100</f>
        <v>403.5624249455218</v>
      </c>
    </row>
    <row r="27" spans="1:7" s="650" customFormat="1" ht="19.5" customHeight="1" hidden="1">
      <c r="A27" s="630"/>
      <c r="B27" s="647" t="s">
        <v>1687</v>
      </c>
      <c r="C27" s="647"/>
      <c r="D27" s="632" t="s">
        <v>1688</v>
      </c>
      <c r="E27" s="674">
        <f>SUM(E28)</f>
        <v>0</v>
      </c>
      <c r="F27" s="675">
        <f>SUM(F28)</f>
        <v>0</v>
      </c>
      <c r="G27" s="665" t="s">
        <v>1195</v>
      </c>
    </row>
    <row r="28" spans="1:7" s="654" customFormat="1" ht="20.25" customHeight="1" hidden="1">
      <c r="A28" s="636"/>
      <c r="B28" s="651"/>
      <c r="C28" s="651" t="s">
        <v>987</v>
      </c>
      <c r="D28" s="655" t="s">
        <v>1160</v>
      </c>
      <c r="E28" s="653">
        <v>0</v>
      </c>
      <c r="F28" s="666"/>
      <c r="G28" s="676" t="s">
        <v>1195</v>
      </c>
    </row>
    <row r="29" spans="1:7" s="650" customFormat="1" ht="19.5" customHeight="1">
      <c r="A29" s="630"/>
      <c r="B29" s="647" t="s">
        <v>313</v>
      </c>
      <c r="C29" s="647"/>
      <c r="D29" s="632" t="s">
        <v>314</v>
      </c>
      <c r="E29" s="664">
        <f>SUM(E30,E31,E32,E33,E34,E35,E36,E37,E38,E40)</f>
        <v>651805</v>
      </c>
      <c r="F29" s="664">
        <f>SUM(F30,F31,F32,F33,F34,F35,F36,F37,F38,F40)</f>
        <v>3590666.25</v>
      </c>
      <c r="G29" s="665">
        <f>F29/E29*100</f>
        <v>550.8804397020581</v>
      </c>
    </row>
    <row r="30" spans="1:7" s="654" customFormat="1" ht="27" customHeight="1">
      <c r="A30" s="636"/>
      <c r="B30" s="651"/>
      <c r="C30" s="651" t="s">
        <v>988</v>
      </c>
      <c r="D30" s="655" t="s">
        <v>436</v>
      </c>
      <c r="E30" s="666">
        <v>0</v>
      </c>
      <c r="F30" s="666">
        <v>1450.8</v>
      </c>
      <c r="G30" s="665" t="s">
        <v>1195</v>
      </c>
    </row>
    <row r="31" spans="1:7" s="650" customFormat="1" ht="27.75" customHeight="1" hidden="1">
      <c r="A31" s="636"/>
      <c r="B31" s="651"/>
      <c r="C31" s="651" t="s">
        <v>435</v>
      </c>
      <c r="D31" s="655" t="s">
        <v>434</v>
      </c>
      <c r="E31" s="666">
        <v>0</v>
      </c>
      <c r="F31" s="653">
        <v>0</v>
      </c>
      <c r="G31" s="641" t="s">
        <v>1195</v>
      </c>
    </row>
    <row r="32" spans="1:7" s="650" customFormat="1" ht="27.75" customHeight="1" hidden="1">
      <c r="A32" s="636"/>
      <c r="B32" s="651"/>
      <c r="C32" s="651" t="s">
        <v>989</v>
      </c>
      <c r="D32" s="652" t="s">
        <v>1157</v>
      </c>
      <c r="E32" s="666">
        <v>0</v>
      </c>
      <c r="F32" s="653">
        <v>0</v>
      </c>
      <c r="G32" s="641" t="e">
        <f>F32/E32*100</f>
        <v>#DIV/0!</v>
      </c>
    </row>
    <row r="33" spans="1:7" s="654" customFormat="1" ht="20.25" customHeight="1">
      <c r="A33" s="636"/>
      <c r="B33" s="651"/>
      <c r="C33" s="651" t="s">
        <v>972</v>
      </c>
      <c r="D33" s="655" t="s">
        <v>971</v>
      </c>
      <c r="E33" s="653">
        <v>25000</v>
      </c>
      <c r="F33" s="653">
        <v>41962.69</v>
      </c>
      <c r="G33" s="641">
        <f>F33/E33*100</f>
        <v>167.85076</v>
      </c>
    </row>
    <row r="34" spans="1:7" s="654" customFormat="1" ht="20.25" customHeight="1">
      <c r="A34" s="636"/>
      <c r="B34" s="651"/>
      <c r="C34" s="651" t="s">
        <v>986</v>
      </c>
      <c r="D34" s="655" t="s">
        <v>1161</v>
      </c>
      <c r="E34" s="653">
        <v>0</v>
      </c>
      <c r="F34" s="653">
        <v>4.02</v>
      </c>
      <c r="G34" s="634" t="s">
        <v>1195</v>
      </c>
    </row>
    <row r="35" spans="1:7" s="654" customFormat="1" ht="20.25" customHeight="1">
      <c r="A35" s="636"/>
      <c r="B35" s="651"/>
      <c r="C35" s="651" t="s">
        <v>987</v>
      </c>
      <c r="D35" s="655" t="s">
        <v>1160</v>
      </c>
      <c r="E35" s="653">
        <v>600000</v>
      </c>
      <c r="F35" s="653">
        <v>692925.79</v>
      </c>
      <c r="G35" s="641">
        <f>F35/E35*100</f>
        <v>115.48763166666667</v>
      </c>
    </row>
    <row r="36" spans="1:7" s="654" customFormat="1" ht="54" customHeight="1" hidden="1">
      <c r="A36" s="636"/>
      <c r="B36" s="677"/>
      <c r="C36" s="1774" t="s">
        <v>1108</v>
      </c>
      <c r="D36" s="1771"/>
      <c r="E36" s="1775">
        <v>0</v>
      </c>
      <c r="F36" s="1775">
        <v>0</v>
      </c>
      <c r="G36" s="1773" t="s">
        <v>1195</v>
      </c>
    </row>
    <row r="37" spans="1:7" s="654" customFormat="1" ht="54" customHeight="1">
      <c r="A37" s="636"/>
      <c r="B37" s="677"/>
      <c r="C37" s="657" t="s">
        <v>570</v>
      </c>
      <c r="D37" s="685" t="s">
        <v>807</v>
      </c>
      <c r="E37" s="661">
        <v>26805</v>
      </c>
      <c r="F37" s="661">
        <v>0</v>
      </c>
      <c r="G37" s="1773" t="s">
        <v>1195</v>
      </c>
    </row>
    <row r="38" spans="1:7" s="654" customFormat="1" ht="52.5" customHeight="1">
      <c r="A38" s="636"/>
      <c r="B38" s="677"/>
      <c r="C38" s="651" t="s">
        <v>424</v>
      </c>
      <c r="D38" s="655" t="s">
        <v>807</v>
      </c>
      <c r="E38" s="640">
        <v>0</v>
      </c>
      <c r="F38" s="640">
        <v>2854322.95</v>
      </c>
      <c r="G38" s="641" t="s">
        <v>1195</v>
      </c>
    </row>
    <row r="39" spans="1:7" s="654" customFormat="1" ht="84" customHeight="1">
      <c r="A39" s="636"/>
      <c r="B39" s="651"/>
      <c r="C39" s="651"/>
      <c r="D39" s="639" t="s">
        <v>808</v>
      </c>
      <c r="E39" s="640"/>
      <c r="F39" s="640"/>
      <c r="G39" s="641"/>
    </row>
    <row r="40" spans="1:7" s="663" customFormat="1" ht="38.25" customHeight="1" hidden="1">
      <c r="A40" s="656"/>
      <c r="B40" s="667"/>
      <c r="C40" s="657" t="s">
        <v>565</v>
      </c>
      <c r="D40" s="659" t="s">
        <v>603</v>
      </c>
      <c r="E40" s="668">
        <v>0</v>
      </c>
      <c r="F40" s="668">
        <v>0</v>
      </c>
      <c r="G40" s="669" t="e">
        <f>F40/E40*100</f>
        <v>#DIV/0!</v>
      </c>
    </row>
    <row r="41" spans="1:7" s="650" customFormat="1" ht="21.75" customHeight="1">
      <c r="A41" s="630"/>
      <c r="B41" s="678" t="s">
        <v>1549</v>
      </c>
      <c r="C41" s="647"/>
      <c r="D41" s="632" t="s">
        <v>1550</v>
      </c>
      <c r="E41" s="633">
        <f>SUM(E42,E43,E44,E45,E46,E48)</f>
        <v>305000</v>
      </c>
      <c r="F41" s="633">
        <f>SUM(F42,F43,F44,F45,F46,F48)</f>
        <v>270639.21</v>
      </c>
      <c r="G41" s="634">
        <f>F41/E41*100</f>
        <v>88.73416721311476</v>
      </c>
    </row>
    <row r="42" spans="1:7" s="650" customFormat="1" ht="27.75" customHeight="1" hidden="1">
      <c r="A42" s="636"/>
      <c r="B42" s="651"/>
      <c r="C42" s="651" t="s">
        <v>435</v>
      </c>
      <c r="D42" s="655" t="s">
        <v>434</v>
      </c>
      <c r="E42" s="666">
        <v>0</v>
      </c>
      <c r="F42" s="653">
        <v>0</v>
      </c>
      <c r="G42" s="641" t="s">
        <v>1195</v>
      </c>
    </row>
    <row r="43" spans="1:7" s="654" customFormat="1" ht="21" customHeight="1" hidden="1">
      <c r="A43" s="636"/>
      <c r="B43" s="651"/>
      <c r="C43" s="651" t="s">
        <v>989</v>
      </c>
      <c r="D43" s="652" t="s">
        <v>1157</v>
      </c>
      <c r="E43" s="653">
        <v>0</v>
      </c>
      <c r="F43" s="653">
        <v>0</v>
      </c>
      <c r="G43" s="641" t="e">
        <f>F43/E43*100</f>
        <v>#DIV/0!</v>
      </c>
    </row>
    <row r="44" spans="1:7" s="654" customFormat="1" ht="66" customHeight="1">
      <c r="A44" s="679"/>
      <c r="B44" s="680"/>
      <c r="C44" s="681" t="s">
        <v>990</v>
      </c>
      <c r="D44" s="639" t="s">
        <v>593</v>
      </c>
      <c r="E44" s="682">
        <v>305000</v>
      </c>
      <c r="F44" s="682">
        <v>268192.2</v>
      </c>
      <c r="G44" s="641">
        <f>F44/E44*100</f>
        <v>87.93186885245902</v>
      </c>
    </row>
    <row r="45" spans="1:7" s="654" customFormat="1" ht="21" customHeight="1">
      <c r="A45" s="636"/>
      <c r="B45" s="651"/>
      <c r="C45" s="651" t="s">
        <v>986</v>
      </c>
      <c r="D45" s="655" t="s">
        <v>1161</v>
      </c>
      <c r="E45" s="653">
        <v>0</v>
      </c>
      <c r="F45" s="653">
        <v>2447.01</v>
      </c>
      <c r="G45" s="641" t="s">
        <v>1195</v>
      </c>
    </row>
    <row r="46" spans="1:7" s="397" customFormat="1" ht="54.75" customHeight="1" hidden="1">
      <c r="A46" s="381"/>
      <c r="B46" s="404"/>
      <c r="C46" s="394" t="s">
        <v>424</v>
      </c>
      <c r="D46" s="398" t="s">
        <v>807</v>
      </c>
      <c r="E46" s="384">
        <v>0</v>
      </c>
      <c r="F46" s="384">
        <v>0</v>
      </c>
      <c r="G46" s="385" t="e">
        <f>F46/E46*100</f>
        <v>#DIV/0!</v>
      </c>
    </row>
    <row r="47" spans="1:7" s="397" customFormat="1" ht="66.75" customHeight="1" hidden="1">
      <c r="A47" s="381"/>
      <c r="B47" s="404"/>
      <c r="C47" s="394"/>
      <c r="D47" s="383" t="s">
        <v>1398</v>
      </c>
      <c r="E47" s="384"/>
      <c r="F47" s="384"/>
      <c r="G47" s="385"/>
    </row>
    <row r="48" spans="1:7" s="397" customFormat="1" ht="54" customHeight="1" hidden="1">
      <c r="A48" s="381"/>
      <c r="B48" s="404"/>
      <c r="C48" s="394" t="s">
        <v>926</v>
      </c>
      <c r="D48" s="398" t="s">
        <v>807</v>
      </c>
      <c r="E48" s="384">
        <v>0</v>
      </c>
      <c r="F48" s="384">
        <v>0</v>
      </c>
      <c r="G48" s="385" t="e">
        <f>F48/E48*100</f>
        <v>#DIV/0!</v>
      </c>
    </row>
    <row r="49" spans="1:7" s="397" customFormat="1" ht="66.75" customHeight="1" hidden="1">
      <c r="A49" s="381"/>
      <c r="B49" s="404"/>
      <c r="C49" s="394"/>
      <c r="D49" s="383" t="s">
        <v>1403</v>
      </c>
      <c r="E49" s="384"/>
      <c r="F49" s="384"/>
      <c r="G49" s="385"/>
    </row>
    <row r="50" spans="1:7" s="646" customFormat="1" ht="19.5" customHeight="1">
      <c r="A50" s="624" t="s">
        <v>315</v>
      </c>
      <c r="B50" s="643"/>
      <c r="C50" s="643"/>
      <c r="D50" s="670" t="s">
        <v>316</v>
      </c>
      <c r="E50" s="645">
        <f>SUM(E51,E59)</f>
        <v>956478</v>
      </c>
      <c r="F50" s="645">
        <f>SUM(F51,F59)</f>
        <v>90953.53</v>
      </c>
      <c r="G50" s="628">
        <f>F50/E50*100</f>
        <v>9.509212966738389</v>
      </c>
    </row>
    <row r="51" spans="1:7" s="650" customFormat="1" ht="16.5" customHeight="1" hidden="1">
      <c r="A51" s="630"/>
      <c r="B51" s="647" t="s">
        <v>396</v>
      </c>
      <c r="C51" s="647"/>
      <c r="D51" s="632" t="s">
        <v>397</v>
      </c>
      <c r="E51" s="649">
        <f>SUM(E52,E53,E54,E55,E56,E57)</f>
        <v>0</v>
      </c>
      <c r="F51" s="649">
        <f>SUM(F52,F53,F54,F55,F56,F57)</f>
        <v>0</v>
      </c>
      <c r="G51" s="634" t="e">
        <f>F51/E51*100</f>
        <v>#DIV/0!</v>
      </c>
    </row>
    <row r="52" spans="1:7" s="686" customFormat="1" ht="24.75" customHeight="1" hidden="1">
      <c r="A52" s="683"/>
      <c r="B52" s="684"/>
      <c r="C52" s="657" t="s">
        <v>988</v>
      </c>
      <c r="D52" s="685" t="s">
        <v>436</v>
      </c>
      <c r="E52" s="690">
        <v>0</v>
      </c>
      <c r="F52" s="690">
        <v>0</v>
      </c>
      <c r="G52" s="385" t="s">
        <v>1195</v>
      </c>
    </row>
    <row r="53" spans="1:7" s="650" customFormat="1" ht="30.75" customHeight="1" hidden="1">
      <c r="A53" s="636"/>
      <c r="B53" s="651"/>
      <c r="C53" s="687" t="s">
        <v>435</v>
      </c>
      <c r="D53" s="655" t="s">
        <v>434</v>
      </c>
      <c r="E53" s="653">
        <v>0</v>
      </c>
      <c r="F53" s="653">
        <v>0</v>
      </c>
      <c r="G53" s="641" t="s">
        <v>1195</v>
      </c>
    </row>
    <row r="54" spans="1:7" s="650" customFormat="1" ht="21" customHeight="1" hidden="1">
      <c r="A54" s="636"/>
      <c r="B54" s="651"/>
      <c r="C54" s="651" t="s">
        <v>972</v>
      </c>
      <c r="D54" s="655" t="s">
        <v>971</v>
      </c>
      <c r="E54" s="653">
        <v>0</v>
      </c>
      <c r="F54" s="653">
        <v>0</v>
      </c>
      <c r="G54" s="641" t="s">
        <v>1195</v>
      </c>
    </row>
    <row r="55" spans="1:7" s="654" customFormat="1" ht="21" customHeight="1" hidden="1">
      <c r="A55" s="636"/>
      <c r="B55" s="651"/>
      <c r="C55" s="651" t="s">
        <v>986</v>
      </c>
      <c r="D55" s="655" t="s">
        <v>1161</v>
      </c>
      <c r="E55" s="653">
        <v>0</v>
      </c>
      <c r="F55" s="653">
        <v>0</v>
      </c>
      <c r="G55" s="641" t="s">
        <v>1195</v>
      </c>
    </row>
    <row r="56" spans="1:7" s="654" customFormat="1" ht="21" customHeight="1" hidden="1">
      <c r="A56" s="636"/>
      <c r="B56" s="637"/>
      <c r="C56" s="637" t="s">
        <v>987</v>
      </c>
      <c r="D56" s="688" t="s">
        <v>1160</v>
      </c>
      <c r="E56" s="689">
        <v>0</v>
      </c>
      <c r="F56" s="689">
        <v>0</v>
      </c>
      <c r="G56" s="641" t="s">
        <v>1195</v>
      </c>
    </row>
    <row r="57" spans="1:7" s="654" customFormat="1" ht="54" customHeight="1" hidden="1">
      <c r="A57" s="636"/>
      <c r="B57" s="651"/>
      <c r="C57" s="651" t="s">
        <v>1271</v>
      </c>
      <c r="D57" s="655" t="s">
        <v>1193</v>
      </c>
      <c r="E57" s="640">
        <v>0</v>
      </c>
      <c r="F57" s="640">
        <v>0</v>
      </c>
      <c r="G57" s="676" t="e">
        <f>F57/E57*100</f>
        <v>#DIV/0!</v>
      </c>
    </row>
    <row r="58" spans="1:7" s="654" customFormat="1" ht="79.5" customHeight="1" hidden="1">
      <c r="A58" s="636"/>
      <c r="B58" s="651"/>
      <c r="C58" s="651"/>
      <c r="D58" s="639" t="s">
        <v>808</v>
      </c>
      <c r="E58" s="691"/>
      <c r="F58" s="640"/>
      <c r="G58" s="676"/>
    </row>
    <row r="59" spans="1:7" s="654" customFormat="1" ht="18" customHeight="1">
      <c r="A59" s="630"/>
      <c r="B59" s="647" t="s">
        <v>1715</v>
      </c>
      <c r="C59" s="647"/>
      <c r="D59" s="632" t="s">
        <v>215</v>
      </c>
      <c r="E59" s="649">
        <f>SUM(E60,E61,E62,E64,E66,E68)</f>
        <v>956478</v>
      </c>
      <c r="F59" s="649">
        <f>SUM(F60,F61,F62,F64,F66,F68)</f>
        <v>90953.53</v>
      </c>
      <c r="G59" s="634">
        <f>F59/E59*100</f>
        <v>9.509212966738389</v>
      </c>
    </row>
    <row r="60" spans="1:7" s="654" customFormat="1" ht="29.25" customHeight="1" hidden="1">
      <c r="A60" s="636"/>
      <c r="B60" s="651"/>
      <c r="C60" s="651" t="s">
        <v>988</v>
      </c>
      <c r="D60" s="655" t="s">
        <v>436</v>
      </c>
      <c r="E60" s="653">
        <v>0</v>
      </c>
      <c r="F60" s="653">
        <v>0</v>
      </c>
      <c r="G60" s="634" t="s">
        <v>1195</v>
      </c>
    </row>
    <row r="61" spans="1:7" s="654" customFormat="1" ht="20.25" customHeight="1" hidden="1">
      <c r="A61" s="636"/>
      <c r="B61" s="651"/>
      <c r="C61" s="637" t="s">
        <v>987</v>
      </c>
      <c r="D61" s="688" t="s">
        <v>1160</v>
      </c>
      <c r="E61" s="653">
        <v>0</v>
      </c>
      <c r="F61" s="653">
        <v>0</v>
      </c>
      <c r="G61" s="634" t="e">
        <f>F61/E61*100</f>
        <v>#DIV/0!</v>
      </c>
    </row>
    <row r="62" spans="1:7" s="654" customFormat="1" ht="72" customHeight="1">
      <c r="A62" s="636"/>
      <c r="B62" s="651"/>
      <c r="C62" s="637" t="s">
        <v>345</v>
      </c>
      <c r="D62" s="692" t="s">
        <v>347</v>
      </c>
      <c r="E62" s="653">
        <v>826649</v>
      </c>
      <c r="F62" s="653">
        <v>90953.53</v>
      </c>
      <c r="G62" s="634">
        <f>F62/E62*100</f>
        <v>11.002678283043952</v>
      </c>
    </row>
    <row r="63" spans="1:7" s="654" customFormat="1" ht="24.75" customHeight="1">
      <c r="A63" s="636"/>
      <c r="B63" s="651"/>
      <c r="C63" s="637"/>
      <c r="D63" s="692" t="s">
        <v>111</v>
      </c>
      <c r="E63" s="653"/>
      <c r="F63" s="653"/>
      <c r="G63" s="641"/>
    </row>
    <row r="64" spans="1:7" s="654" customFormat="1" ht="69.75" customHeight="1">
      <c r="A64" s="636"/>
      <c r="B64" s="651"/>
      <c r="C64" s="637" t="s">
        <v>346</v>
      </c>
      <c r="D64" s="692" t="s">
        <v>347</v>
      </c>
      <c r="E64" s="653">
        <v>129829</v>
      </c>
      <c r="F64" s="653">
        <v>0</v>
      </c>
      <c r="G64" s="641" t="s">
        <v>1195</v>
      </c>
    </row>
    <row r="65" spans="1:7" s="654" customFormat="1" ht="78" customHeight="1">
      <c r="A65" s="636"/>
      <c r="B65" s="651"/>
      <c r="C65" s="637"/>
      <c r="D65" s="639" t="s">
        <v>319</v>
      </c>
      <c r="E65" s="653"/>
      <c r="F65" s="653"/>
      <c r="G65" s="641"/>
    </row>
    <row r="66" spans="1:7" s="650" customFormat="1" ht="50.25" customHeight="1" hidden="1">
      <c r="A66" s="679"/>
      <c r="B66" s="680"/>
      <c r="C66" s="681" t="s">
        <v>424</v>
      </c>
      <c r="D66" s="655" t="s">
        <v>807</v>
      </c>
      <c r="E66" s="682">
        <v>0</v>
      </c>
      <c r="F66" s="682">
        <v>0</v>
      </c>
      <c r="G66" s="641" t="e">
        <f>F66/E66*100</f>
        <v>#DIV/0!</v>
      </c>
    </row>
    <row r="67" spans="1:7" s="654" customFormat="1" ht="74.25" customHeight="1" hidden="1">
      <c r="A67" s="636"/>
      <c r="B67" s="651"/>
      <c r="C67" s="637"/>
      <c r="D67" s="639" t="s">
        <v>808</v>
      </c>
      <c r="E67" s="653"/>
      <c r="F67" s="653"/>
      <c r="G67" s="641"/>
    </row>
    <row r="68" spans="1:7" s="397" customFormat="1" ht="16.5" customHeight="1" hidden="1">
      <c r="A68" s="381"/>
      <c r="B68" s="394"/>
      <c r="C68" s="394" t="s">
        <v>565</v>
      </c>
      <c r="D68" s="398" t="s">
        <v>603</v>
      </c>
      <c r="E68" s="396">
        <v>0</v>
      </c>
      <c r="F68" s="396">
        <v>0</v>
      </c>
      <c r="G68" s="385" t="e">
        <f aca="true" t="shared" si="1" ref="G68:G85">F68/E68*100</f>
        <v>#DIV/0!</v>
      </c>
    </row>
    <row r="69" spans="1:7" s="646" customFormat="1" ht="21" customHeight="1">
      <c r="A69" s="624" t="s">
        <v>317</v>
      </c>
      <c r="B69" s="643"/>
      <c r="C69" s="643"/>
      <c r="D69" s="644" t="s">
        <v>257</v>
      </c>
      <c r="E69" s="645">
        <f>SUM(E70,E76,E88)</f>
        <v>32683387</v>
      </c>
      <c r="F69" s="645">
        <f>SUM(F70,F76,F88)</f>
        <v>27395710.63</v>
      </c>
      <c r="G69" s="628">
        <f t="shared" si="1"/>
        <v>83.82151650928957</v>
      </c>
    </row>
    <row r="70" spans="1:7" s="650" customFormat="1" ht="21" customHeight="1">
      <c r="A70" s="636"/>
      <c r="B70" s="647" t="s">
        <v>1717</v>
      </c>
      <c r="C70" s="647"/>
      <c r="D70" s="648" t="s">
        <v>1719</v>
      </c>
      <c r="E70" s="649">
        <f>SUM(E71,E72,E74)</f>
        <v>1200390</v>
      </c>
      <c r="F70" s="649">
        <f>SUM(F71,F72,F74)</f>
        <v>483576.79</v>
      </c>
      <c r="G70" s="634">
        <f>F70/E70*100</f>
        <v>40.284973217037795</v>
      </c>
    </row>
    <row r="71" spans="1:7" s="654" customFormat="1" ht="29.25" customHeight="1">
      <c r="A71" s="636"/>
      <c r="B71" s="651"/>
      <c r="C71" s="651" t="s">
        <v>554</v>
      </c>
      <c r="D71" s="655" t="s">
        <v>190</v>
      </c>
      <c r="E71" s="653">
        <v>191100</v>
      </c>
      <c r="F71" s="653">
        <v>200000</v>
      </c>
      <c r="G71" s="641">
        <f>F71/E71*100</f>
        <v>104.65724751439036</v>
      </c>
    </row>
    <row r="72" spans="1:7" s="654" customFormat="1" ht="68.25" customHeight="1">
      <c r="A72" s="636"/>
      <c r="B72" s="651"/>
      <c r="C72" s="731" t="s">
        <v>345</v>
      </c>
      <c r="D72" s="732" t="s">
        <v>347</v>
      </c>
      <c r="E72" s="661">
        <v>0</v>
      </c>
      <c r="F72" s="661">
        <v>283576.79</v>
      </c>
      <c r="G72" s="662" t="s">
        <v>1195</v>
      </c>
    </row>
    <row r="73" spans="1:7" s="654" customFormat="1" ht="29.25" customHeight="1">
      <c r="A73" s="636"/>
      <c r="B73" s="651"/>
      <c r="C73" s="658"/>
      <c r="D73" s="659" t="s">
        <v>111</v>
      </c>
      <c r="E73" s="661"/>
      <c r="F73" s="661"/>
      <c r="G73" s="662"/>
    </row>
    <row r="74" spans="1:7" s="397" customFormat="1" ht="67.5" customHeight="1">
      <c r="A74" s="381"/>
      <c r="B74" s="394"/>
      <c r="C74" s="657" t="s">
        <v>370</v>
      </c>
      <c r="D74" s="732" t="s">
        <v>347</v>
      </c>
      <c r="E74" s="661">
        <v>1009290</v>
      </c>
      <c r="F74" s="661">
        <v>0</v>
      </c>
      <c r="G74" s="662">
        <f>F74/E74*100</f>
        <v>0</v>
      </c>
    </row>
    <row r="75" spans="1:7" s="397" customFormat="1" ht="77.25" customHeight="1">
      <c r="A75" s="381"/>
      <c r="B75" s="394"/>
      <c r="C75" s="657"/>
      <c r="D75" s="659" t="s">
        <v>808</v>
      </c>
      <c r="E75" s="661"/>
      <c r="F75" s="661"/>
      <c r="G75" s="662"/>
    </row>
    <row r="76" spans="1:7" s="650" customFormat="1" ht="21" customHeight="1">
      <c r="A76" s="636"/>
      <c r="B76" s="647" t="s">
        <v>258</v>
      </c>
      <c r="C76" s="647"/>
      <c r="D76" s="648" t="s">
        <v>259</v>
      </c>
      <c r="E76" s="649">
        <f>SUM(E77,E78,E79,E80,E81,E82,E83,E84,E85,E86,E87)</f>
        <v>31482997</v>
      </c>
      <c r="F76" s="649">
        <f>SUM(F77,F78,F79,F80,F81,F82,F83,F84,F85,F86,F87)</f>
        <v>26912133.84</v>
      </c>
      <c r="G76" s="634">
        <f t="shared" si="1"/>
        <v>85.48148653065017</v>
      </c>
    </row>
    <row r="77" spans="1:7" s="654" customFormat="1" ht="29.25" customHeight="1">
      <c r="A77" s="636"/>
      <c r="B77" s="651"/>
      <c r="C77" s="651" t="s">
        <v>994</v>
      </c>
      <c r="D77" s="655" t="s">
        <v>377</v>
      </c>
      <c r="E77" s="653">
        <v>2600000</v>
      </c>
      <c r="F77" s="653">
        <v>2642422.21</v>
      </c>
      <c r="G77" s="641">
        <f t="shared" si="1"/>
        <v>101.63162346153847</v>
      </c>
    </row>
    <row r="78" spans="1:7" s="397" customFormat="1" ht="29.25" customHeight="1" hidden="1">
      <c r="A78" s="381"/>
      <c r="B78" s="394"/>
      <c r="C78" s="394" t="s">
        <v>988</v>
      </c>
      <c r="D78" s="398" t="s">
        <v>436</v>
      </c>
      <c r="E78" s="396">
        <v>0</v>
      </c>
      <c r="F78" s="396">
        <v>0</v>
      </c>
      <c r="G78" s="385" t="s">
        <v>1195</v>
      </c>
    </row>
    <row r="79" spans="1:7" ht="27.75" customHeight="1">
      <c r="A79" s="381"/>
      <c r="B79" s="394"/>
      <c r="C79" s="394" t="s">
        <v>435</v>
      </c>
      <c r="D79" s="398" t="s">
        <v>434</v>
      </c>
      <c r="E79" s="400">
        <v>0</v>
      </c>
      <c r="F79" s="396">
        <v>10.77</v>
      </c>
      <c r="G79" s="385" t="s">
        <v>1195</v>
      </c>
    </row>
    <row r="80" spans="1:7" s="650" customFormat="1" ht="27.75" customHeight="1">
      <c r="A80" s="636"/>
      <c r="B80" s="651"/>
      <c r="C80" s="651" t="s">
        <v>989</v>
      </c>
      <c r="D80" s="655" t="s">
        <v>1157</v>
      </c>
      <c r="E80" s="666">
        <v>10000</v>
      </c>
      <c r="F80" s="653">
        <v>57602.61</v>
      </c>
      <c r="G80" s="641">
        <f t="shared" si="1"/>
        <v>576.0261</v>
      </c>
    </row>
    <row r="81" spans="1:7" s="654" customFormat="1" ht="69" customHeight="1">
      <c r="A81" s="636"/>
      <c r="B81" s="651"/>
      <c r="C81" s="651" t="s">
        <v>990</v>
      </c>
      <c r="D81" s="655" t="s">
        <v>593</v>
      </c>
      <c r="E81" s="653">
        <v>2580000</v>
      </c>
      <c r="F81" s="653">
        <v>2651415.87</v>
      </c>
      <c r="G81" s="641">
        <f t="shared" si="1"/>
        <v>102.76805697674418</v>
      </c>
    </row>
    <row r="82" spans="1:7" s="654" customFormat="1" ht="42" customHeight="1">
      <c r="A82" s="636"/>
      <c r="B82" s="651"/>
      <c r="C82" s="651" t="s">
        <v>996</v>
      </c>
      <c r="D82" s="655" t="s">
        <v>1164</v>
      </c>
      <c r="E82" s="653">
        <v>1200000</v>
      </c>
      <c r="F82" s="653">
        <v>1521321.06</v>
      </c>
      <c r="G82" s="641">
        <f t="shared" si="1"/>
        <v>126.77675500000001</v>
      </c>
    </row>
    <row r="83" spans="1:7" s="693" customFormat="1" ht="39" customHeight="1">
      <c r="A83" s="636"/>
      <c r="B83" s="651"/>
      <c r="C83" s="651" t="s">
        <v>997</v>
      </c>
      <c r="D83" s="655" t="s">
        <v>809</v>
      </c>
      <c r="E83" s="653">
        <v>24882997</v>
      </c>
      <c r="F83" s="653">
        <v>19816815.78</v>
      </c>
      <c r="G83" s="641">
        <f t="shared" si="1"/>
        <v>79.6399878197952</v>
      </c>
    </row>
    <row r="84" spans="1:7" s="654" customFormat="1" ht="19.5" customHeight="1">
      <c r="A84" s="636"/>
      <c r="B84" s="637"/>
      <c r="C84" s="637" t="s">
        <v>986</v>
      </c>
      <c r="D84" s="688" t="s">
        <v>1161</v>
      </c>
      <c r="E84" s="689">
        <v>160000</v>
      </c>
      <c r="F84" s="689">
        <v>191094.36</v>
      </c>
      <c r="G84" s="641">
        <f t="shared" si="1"/>
        <v>119.43397499999999</v>
      </c>
    </row>
    <row r="85" spans="1:7" s="654" customFormat="1" ht="19.5" customHeight="1">
      <c r="A85" s="636"/>
      <c r="B85" s="637"/>
      <c r="C85" s="681" t="s">
        <v>987</v>
      </c>
      <c r="D85" s="639" t="s">
        <v>1160</v>
      </c>
      <c r="E85" s="682">
        <v>50000</v>
      </c>
      <c r="F85" s="682">
        <v>31451.18</v>
      </c>
      <c r="G85" s="641">
        <f t="shared" si="1"/>
        <v>62.90236</v>
      </c>
    </row>
    <row r="86" spans="1:7" s="397" customFormat="1" ht="63" customHeight="1" hidden="1">
      <c r="A86" s="406"/>
      <c r="B86" s="407"/>
      <c r="C86" s="382">
        <v>2010</v>
      </c>
      <c r="D86" s="383" t="s">
        <v>382</v>
      </c>
      <c r="E86" s="409">
        <v>0</v>
      </c>
      <c r="F86" s="409"/>
      <c r="G86" s="385" t="e">
        <f>F86/E86*100</f>
        <v>#DIV/0!</v>
      </c>
    </row>
    <row r="87" spans="1:7" s="397" customFormat="1" ht="55.5" customHeight="1" hidden="1">
      <c r="A87" s="406"/>
      <c r="B87" s="407"/>
      <c r="C87" s="382">
        <v>2020</v>
      </c>
      <c r="D87" s="383" t="s">
        <v>395</v>
      </c>
      <c r="E87" s="409">
        <v>0</v>
      </c>
      <c r="F87" s="409">
        <v>0</v>
      </c>
      <c r="G87" s="385" t="e">
        <f>F87/E87*100</f>
        <v>#DIV/0!</v>
      </c>
    </row>
    <row r="88" spans="1:7" s="650" customFormat="1" ht="20.25" customHeight="1" hidden="1">
      <c r="A88" s="694"/>
      <c r="B88" s="695" t="s">
        <v>1720</v>
      </c>
      <c r="C88" s="696"/>
      <c r="D88" s="697" t="s">
        <v>215</v>
      </c>
      <c r="E88" s="698">
        <f>SUM(E89,E90,E91,E92)</f>
        <v>0</v>
      </c>
      <c r="F88" s="698">
        <f>SUM(F89,F90,F91,F92)</f>
        <v>0</v>
      </c>
      <c r="G88" s="634" t="e">
        <f>F88/E88*100</f>
        <v>#DIV/0!</v>
      </c>
    </row>
    <row r="89" spans="1:7" s="654" customFormat="1" ht="30" customHeight="1" hidden="1">
      <c r="A89" s="679"/>
      <c r="B89" s="680"/>
      <c r="C89" s="681" t="s">
        <v>988</v>
      </c>
      <c r="D89" s="639" t="s">
        <v>436</v>
      </c>
      <c r="E89" s="682">
        <v>0</v>
      </c>
      <c r="F89" s="682">
        <v>0</v>
      </c>
      <c r="G89" s="641" t="s">
        <v>1195</v>
      </c>
    </row>
    <row r="90" spans="1:7" s="693" customFormat="1" ht="19.5" customHeight="1" hidden="1">
      <c r="A90" s="636"/>
      <c r="B90" s="637"/>
      <c r="C90" s="687" t="s">
        <v>987</v>
      </c>
      <c r="D90" s="655" t="s">
        <v>1160</v>
      </c>
      <c r="E90" s="653">
        <v>0</v>
      </c>
      <c r="F90" s="653">
        <v>0</v>
      </c>
      <c r="G90" s="641" t="e">
        <f>F90/E90*100</f>
        <v>#DIV/0!</v>
      </c>
    </row>
    <row r="91" spans="1:9" s="693" customFormat="1" ht="52.5" customHeight="1" hidden="1">
      <c r="A91" s="636"/>
      <c r="B91" s="637"/>
      <c r="C91" s="687" t="s">
        <v>567</v>
      </c>
      <c r="D91" s="655" t="s">
        <v>1107</v>
      </c>
      <c r="E91" s="653">
        <v>0</v>
      </c>
      <c r="F91" s="653">
        <v>0</v>
      </c>
      <c r="G91" s="641" t="e">
        <f>F91/E91*100</f>
        <v>#DIV/0!</v>
      </c>
      <c r="I91" s="641" t="e">
        <f>H91/G91*100</f>
        <v>#DIV/0!</v>
      </c>
    </row>
    <row r="92" spans="1:7" s="654" customFormat="1" ht="52.5" customHeight="1" hidden="1">
      <c r="A92" s="679"/>
      <c r="B92" s="680"/>
      <c r="C92" s="638">
        <v>6290</v>
      </c>
      <c r="D92" s="655" t="s">
        <v>807</v>
      </c>
      <c r="E92" s="682">
        <v>0</v>
      </c>
      <c r="F92" s="682">
        <v>0</v>
      </c>
      <c r="G92" s="641" t="e">
        <f>F92/E92*100</f>
        <v>#DIV/0!</v>
      </c>
    </row>
    <row r="93" spans="1:7" s="650" customFormat="1" ht="19.5" customHeight="1">
      <c r="A93" s="699" t="s">
        <v>260</v>
      </c>
      <c r="B93" s="700"/>
      <c r="C93" s="701"/>
      <c r="D93" s="702" t="s">
        <v>261</v>
      </c>
      <c r="E93" s="672">
        <f>SUM(E94,E96,E99)</f>
        <v>280000</v>
      </c>
      <c r="F93" s="672">
        <f>SUM(F94,F96,F99)</f>
        <v>324477.06</v>
      </c>
      <c r="G93" s="628">
        <f>F93/E93*100</f>
        <v>115.8846642857143</v>
      </c>
    </row>
    <row r="94" spans="1:7" s="650" customFormat="1" ht="19.5" customHeight="1" hidden="1">
      <c r="A94" s="694"/>
      <c r="B94" s="695" t="s">
        <v>1721</v>
      </c>
      <c r="C94" s="701"/>
      <c r="D94" s="703" t="s">
        <v>1723</v>
      </c>
      <c r="E94" s="698">
        <f>SUM(E95)</f>
        <v>0</v>
      </c>
      <c r="F94" s="698">
        <f>SUM(F95)</f>
        <v>0</v>
      </c>
      <c r="G94" s="634" t="s">
        <v>1195</v>
      </c>
    </row>
    <row r="95" spans="1:7" s="654" customFormat="1" ht="29.25" customHeight="1" hidden="1">
      <c r="A95" s="679"/>
      <c r="B95" s="680"/>
      <c r="C95" s="680" t="s">
        <v>988</v>
      </c>
      <c r="D95" s="639" t="s">
        <v>436</v>
      </c>
      <c r="E95" s="682">
        <v>0</v>
      </c>
      <c r="F95" s="682">
        <v>0</v>
      </c>
      <c r="G95" s="641" t="s">
        <v>1195</v>
      </c>
    </row>
    <row r="96" spans="1:7" s="650" customFormat="1" ht="18.75" customHeight="1">
      <c r="A96" s="694"/>
      <c r="B96" s="695" t="s">
        <v>263</v>
      </c>
      <c r="C96" s="695"/>
      <c r="D96" s="697" t="s">
        <v>264</v>
      </c>
      <c r="E96" s="698">
        <f>SUM(E97,E98)</f>
        <v>0</v>
      </c>
      <c r="F96" s="698">
        <f>SUM(F97,F98)</f>
        <v>504</v>
      </c>
      <c r="G96" s="634" t="s">
        <v>1195</v>
      </c>
    </row>
    <row r="97" spans="1:7" s="654" customFormat="1" ht="29.25" customHeight="1">
      <c r="A97" s="679"/>
      <c r="B97" s="680"/>
      <c r="C97" s="680" t="s">
        <v>988</v>
      </c>
      <c r="D97" s="655" t="s">
        <v>436</v>
      </c>
      <c r="E97" s="682">
        <v>0</v>
      </c>
      <c r="F97" s="682">
        <v>504</v>
      </c>
      <c r="G97" s="641" t="s">
        <v>1195</v>
      </c>
    </row>
    <row r="98" spans="1:7" s="397" customFormat="1" ht="21.75" customHeight="1" hidden="1">
      <c r="A98" s="406"/>
      <c r="B98" s="407"/>
      <c r="C98" s="407" t="s">
        <v>987</v>
      </c>
      <c r="D98" s="398" t="s">
        <v>1160</v>
      </c>
      <c r="E98" s="409">
        <v>0</v>
      </c>
      <c r="F98" s="409">
        <v>0</v>
      </c>
      <c r="G98" s="385" t="s">
        <v>1195</v>
      </c>
    </row>
    <row r="99" spans="1:7" s="650" customFormat="1" ht="19.5" customHeight="1">
      <c r="A99" s="694"/>
      <c r="B99" s="695" t="s">
        <v>256</v>
      </c>
      <c r="C99" s="695"/>
      <c r="D99" s="703" t="s">
        <v>940</v>
      </c>
      <c r="E99" s="698">
        <f>SUM(E101,E102,E103)</f>
        <v>280000</v>
      </c>
      <c r="F99" s="698">
        <f>SUM(F101,F102,F103)</f>
        <v>323973.06</v>
      </c>
      <c r="G99" s="634">
        <f aca="true" t="shared" si="2" ref="G99:G110">F99/E99*100</f>
        <v>115.70466428571429</v>
      </c>
    </row>
    <row r="100" spans="1:7" s="650" customFormat="1" ht="29.25" customHeight="1" hidden="1">
      <c r="A100" s="694"/>
      <c r="B100" s="695"/>
      <c r="C100" s="680" t="s">
        <v>988</v>
      </c>
      <c r="D100" s="639" t="s">
        <v>436</v>
      </c>
      <c r="E100" s="682">
        <v>0</v>
      </c>
      <c r="F100" s="682">
        <v>0</v>
      </c>
      <c r="G100" s="634" t="s">
        <v>1195</v>
      </c>
    </row>
    <row r="101" spans="1:7" s="654" customFormat="1" ht="19.5" customHeight="1">
      <c r="A101" s="679"/>
      <c r="B101" s="680"/>
      <c r="C101" s="680" t="s">
        <v>985</v>
      </c>
      <c r="D101" s="704" t="s">
        <v>1207</v>
      </c>
      <c r="E101" s="682">
        <v>280000</v>
      </c>
      <c r="F101" s="682">
        <v>323911.17</v>
      </c>
      <c r="G101" s="641">
        <f t="shared" si="2"/>
        <v>115.68256071428571</v>
      </c>
    </row>
    <row r="102" spans="1:7" s="654" customFormat="1" ht="19.5" customHeight="1">
      <c r="A102" s="679"/>
      <c r="B102" s="680"/>
      <c r="C102" s="680" t="s">
        <v>986</v>
      </c>
      <c r="D102" s="704" t="s">
        <v>1161</v>
      </c>
      <c r="E102" s="682">
        <v>0</v>
      </c>
      <c r="F102" s="682">
        <v>61.89</v>
      </c>
      <c r="G102" s="641" t="s">
        <v>1195</v>
      </c>
    </row>
    <row r="103" spans="1:7" s="654" customFormat="1" ht="19.5" customHeight="1" hidden="1">
      <c r="A103" s="679"/>
      <c r="B103" s="680"/>
      <c r="C103" s="680" t="s">
        <v>987</v>
      </c>
      <c r="D103" s="704" t="s">
        <v>1160</v>
      </c>
      <c r="E103" s="682">
        <v>0</v>
      </c>
      <c r="F103" s="682">
        <v>0</v>
      </c>
      <c r="G103" s="641" t="e">
        <f t="shared" si="2"/>
        <v>#DIV/0!</v>
      </c>
    </row>
    <row r="104" spans="1:7" s="646" customFormat="1" ht="19.5" customHeight="1">
      <c r="A104" s="699" t="s">
        <v>941</v>
      </c>
      <c r="B104" s="700"/>
      <c r="C104" s="700"/>
      <c r="D104" s="702" t="s">
        <v>942</v>
      </c>
      <c r="E104" s="672">
        <f>SUM(E105,E107,E116,E118,E124)</f>
        <v>579998</v>
      </c>
      <c r="F104" s="672">
        <f>SUM(F105,F107,F116,F118,F124)</f>
        <v>744294.07</v>
      </c>
      <c r="G104" s="628">
        <f t="shared" si="2"/>
        <v>128.3270063000217</v>
      </c>
    </row>
    <row r="105" spans="1:7" s="650" customFormat="1" ht="19.5" customHeight="1">
      <c r="A105" s="694"/>
      <c r="B105" s="695" t="s">
        <v>943</v>
      </c>
      <c r="C105" s="695"/>
      <c r="D105" s="703" t="s">
        <v>949</v>
      </c>
      <c r="E105" s="698">
        <f>SUM(E106)</f>
        <v>366200</v>
      </c>
      <c r="F105" s="698">
        <f>SUM(F106)</f>
        <v>366199.49</v>
      </c>
      <c r="G105" s="634">
        <f t="shared" si="2"/>
        <v>99.99986073184051</v>
      </c>
    </row>
    <row r="106" spans="1:7" s="654" customFormat="1" ht="56.25" customHeight="1">
      <c r="A106" s="679"/>
      <c r="B106" s="680"/>
      <c r="C106" s="680" t="s">
        <v>583</v>
      </c>
      <c r="D106" s="639" t="s">
        <v>382</v>
      </c>
      <c r="E106" s="682">
        <v>366200</v>
      </c>
      <c r="F106" s="682">
        <v>366199.49</v>
      </c>
      <c r="G106" s="641">
        <f t="shared" si="2"/>
        <v>99.99986073184051</v>
      </c>
    </row>
    <row r="107" spans="1:7" s="650" customFormat="1" ht="19.5" customHeight="1">
      <c r="A107" s="694"/>
      <c r="B107" s="705" t="s">
        <v>1</v>
      </c>
      <c r="C107" s="705"/>
      <c r="D107" s="706" t="s">
        <v>383</v>
      </c>
      <c r="E107" s="707">
        <f>SUM(E108,E109,E110,E111,E112,E113,E114,E115)</f>
        <v>121648</v>
      </c>
      <c r="F107" s="707">
        <f>SUM(F108,F109,F110,F111,F112,F113,F114,F115)</f>
        <v>315817.81999999995</v>
      </c>
      <c r="G107" s="665">
        <f t="shared" si="2"/>
        <v>259.61612192555566</v>
      </c>
    </row>
    <row r="108" spans="1:7" s="654" customFormat="1" ht="19.5" customHeight="1">
      <c r="A108" s="708"/>
      <c r="B108" s="709"/>
      <c r="C108" s="709" t="s">
        <v>989</v>
      </c>
      <c r="D108" s="710" t="s">
        <v>1157</v>
      </c>
      <c r="E108" s="711">
        <v>28000</v>
      </c>
      <c r="F108" s="682">
        <v>137118.56</v>
      </c>
      <c r="G108" s="676">
        <f t="shared" si="2"/>
        <v>489.70914285714287</v>
      </c>
    </row>
    <row r="109" spans="1:7" s="654" customFormat="1" ht="69" customHeight="1">
      <c r="A109" s="679"/>
      <c r="B109" s="680"/>
      <c r="C109" s="681" t="s">
        <v>990</v>
      </c>
      <c r="D109" s="639" t="s">
        <v>593</v>
      </c>
      <c r="E109" s="682">
        <v>15255</v>
      </c>
      <c r="F109" s="682">
        <v>15605.85</v>
      </c>
      <c r="G109" s="641">
        <f t="shared" si="2"/>
        <v>102.29990167158309</v>
      </c>
    </row>
    <row r="110" spans="1:7" s="654" customFormat="1" ht="20.25" customHeight="1">
      <c r="A110" s="679"/>
      <c r="B110" s="680"/>
      <c r="C110" s="681" t="s">
        <v>985</v>
      </c>
      <c r="D110" s="639" t="s">
        <v>1207</v>
      </c>
      <c r="E110" s="682">
        <v>10938</v>
      </c>
      <c r="F110" s="682">
        <v>30948.56</v>
      </c>
      <c r="G110" s="641">
        <f t="shared" si="2"/>
        <v>282.9453282135674</v>
      </c>
    </row>
    <row r="111" spans="1:7" s="654" customFormat="1" ht="20.25" customHeight="1" hidden="1">
      <c r="A111" s="679"/>
      <c r="B111" s="680"/>
      <c r="C111" s="681" t="s">
        <v>972</v>
      </c>
      <c r="D111" s="639" t="s">
        <v>971</v>
      </c>
      <c r="E111" s="682">
        <v>0</v>
      </c>
      <c r="F111" s="682">
        <v>0</v>
      </c>
      <c r="G111" s="641" t="s">
        <v>1195</v>
      </c>
    </row>
    <row r="112" spans="1:7" s="654" customFormat="1" ht="30" customHeight="1" hidden="1">
      <c r="A112" s="679"/>
      <c r="B112" s="680"/>
      <c r="C112" s="681" t="s">
        <v>999</v>
      </c>
      <c r="D112" s="639" t="s">
        <v>334</v>
      </c>
      <c r="E112" s="682">
        <v>0</v>
      </c>
      <c r="F112" s="682">
        <v>0</v>
      </c>
      <c r="G112" s="641" t="s">
        <v>1195</v>
      </c>
    </row>
    <row r="113" spans="1:7" s="654" customFormat="1" ht="21" customHeight="1">
      <c r="A113" s="679"/>
      <c r="B113" s="680"/>
      <c r="C113" s="681" t="s">
        <v>986</v>
      </c>
      <c r="D113" s="639" t="s">
        <v>1161</v>
      </c>
      <c r="E113" s="682">
        <v>0</v>
      </c>
      <c r="F113" s="682">
        <v>2257.81</v>
      </c>
      <c r="G113" s="641" t="s">
        <v>1195</v>
      </c>
    </row>
    <row r="114" spans="1:7" s="654" customFormat="1" ht="21" customHeight="1">
      <c r="A114" s="679"/>
      <c r="B114" s="680"/>
      <c r="C114" s="681" t="s">
        <v>987</v>
      </c>
      <c r="D114" s="639" t="s">
        <v>1160</v>
      </c>
      <c r="E114" s="682">
        <v>5000</v>
      </c>
      <c r="F114" s="682">
        <v>35470.64</v>
      </c>
      <c r="G114" s="641">
        <f aca="true" t="shared" si="3" ref="G114:G143">F114/E114*100</f>
        <v>709.4128</v>
      </c>
    </row>
    <row r="115" spans="1:7" s="654" customFormat="1" ht="52.5" customHeight="1">
      <c r="A115" s="679"/>
      <c r="B115" s="680"/>
      <c r="C115" s="681" t="s">
        <v>571</v>
      </c>
      <c r="D115" s="639" t="s">
        <v>591</v>
      </c>
      <c r="E115" s="682">
        <v>62455</v>
      </c>
      <c r="F115" s="682">
        <v>94416.4</v>
      </c>
      <c r="G115" s="634">
        <f t="shared" si="3"/>
        <v>151.1750860619646</v>
      </c>
    </row>
    <row r="116" spans="1:7" s="650" customFormat="1" ht="19.5" customHeight="1" hidden="1">
      <c r="A116" s="694"/>
      <c r="B116" s="695" t="s">
        <v>296</v>
      </c>
      <c r="C116" s="712"/>
      <c r="D116" s="697" t="s">
        <v>297</v>
      </c>
      <c r="E116" s="698">
        <f>SUM(E117)</f>
        <v>0</v>
      </c>
      <c r="F116" s="698">
        <f>SUM(F117)</f>
        <v>0</v>
      </c>
      <c r="G116" s="634" t="e">
        <f t="shared" si="3"/>
        <v>#DIV/0!</v>
      </c>
    </row>
    <row r="117" spans="1:7" s="654" customFormat="1" ht="57.75" customHeight="1" hidden="1">
      <c r="A117" s="679"/>
      <c r="B117" s="680"/>
      <c r="C117" s="680" t="s">
        <v>583</v>
      </c>
      <c r="D117" s="639" t="s">
        <v>382</v>
      </c>
      <c r="E117" s="682">
        <v>0</v>
      </c>
      <c r="F117" s="682">
        <v>0</v>
      </c>
      <c r="G117" s="634" t="e">
        <f t="shared" si="3"/>
        <v>#DIV/0!</v>
      </c>
    </row>
    <row r="118" spans="1:7" s="650" customFormat="1" ht="20.25" customHeight="1">
      <c r="A118" s="694"/>
      <c r="B118" s="695" t="s">
        <v>920</v>
      </c>
      <c r="C118" s="712"/>
      <c r="D118" s="697" t="s">
        <v>922</v>
      </c>
      <c r="E118" s="698">
        <f>SUM(E119,E120,E121,E122,E123)</f>
        <v>80000</v>
      </c>
      <c r="F118" s="698">
        <f>SUM(F119,F120,F121,F122,F123)</f>
        <v>54573.64</v>
      </c>
      <c r="G118" s="634">
        <f t="shared" si="3"/>
        <v>68.21705</v>
      </c>
    </row>
    <row r="119" spans="1:7" s="654" customFormat="1" ht="30" customHeight="1">
      <c r="A119" s="679"/>
      <c r="B119" s="680"/>
      <c r="C119" s="681" t="s">
        <v>988</v>
      </c>
      <c r="D119" s="655" t="s">
        <v>436</v>
      </c>
      <c r="E119" s="682">
        <v>0</v>
      </c>
      <c r="F119" s="682">
        <v>1807.61</v>
      </c>
      <c r="G119" s="634" t="s">
        <v>1195</v>
      </c>
    </row>
    <row r="120" spans="1:7" s="654" customFormat="1" ht="26.25" customHeight="1" hidden="1">
      <c r="A120" s="679"/>
      <c r="B120" s="680"/>
      <c r="C120" s="681" t="s">
        <v>435</v>
      </c>
      <c r="D120" s="639" t="s">
        <v>434</v>
      </c>
      <c r="E120" s="682">
        <v>0</v>
      </c>
      <c r="F120" s="682">
        <v>0</v>
      </c>
      <c r="G120" s="634" t="s">
        <v>1195</v>
      </c>
    </row>
    <row r="121" spans="1:7" s="654" customFormat="1" ht="20.25" customHeight="1" hidden="1">
      <c r="A121" s="679"/>
      <c r="B121" s="680"/>
      <c r="C121" s="681" t="s">
        <v>985</v>
      </c>
      <c r="D121" s="704" t="s">
        <v>1207</v>
      </c>
      <c r="E121" s="682">
        <v>0</v>
      </c>
      <c r="F121" s="682">
        <v>0</v>
      </c>
      <c r="G121" s="634" t="s">
        <v>1195</v>
      </c>
    </row>
    <row r="122" spans="1:7" s="654" customFormat="1" ht="23.25" customHeight="1">
      <c r="A122" s="679"/>
      <c r="B122" s="680"/>
      <c r="C122" s="681" t="s">
        <v>987</v>
      </c>
      <c r="D122" s="639" t="s">
        <v>1160</v>
      </c>
      <c r="E122" s="682">
        <v>80000</v>
      </c>
      <c r="F122" s="682">
        <v>52766.03</v>
      </c>
      <c r="G122" s="721">
        <f t="shared" si="3"/>
        <v>65.9575375</v>
      </c>
    </row>
    <row r="123" spans="1:7" s="654" customFormat="1" ht="50.25" customHeight="1" hidden="1">
      <c r="A123" s="679"/>
      <c r="B123" s="680"/>
      <c r="C123" s="681" t="s">
        <v>477</v>
      </c>
      <c r="D123" s="639" t="s">
        <v>108</v>
      </c>
      <c r="E123" s="682">
        <v>0</v>
      </c>
      <c r="F123" s="682">
        <v>0</v>
      </c>
      <c r="G123" s="721" t="e">
        <f t="shared" si="3"/>
        <v>#DIV/0!</v>
      </c>
    </row>
    <row r="124" spans="1:7" s="650" customFormat="1" ht="19.5" customHeight="1">
      <c r="A124" s="694"/>
      <c r="B124" s="695" t="s">
        <v>3</v>
      </c>
      <c r="C124" s="712"/>
      <c r="D124" s="697" t="s">
        <v>215</v>
      </c>
      <c r="E124" s="698">
        <f>SUM(E125,E126,E127,E129,E131,E132,E134)</f>
        <v>12150</v>
      </c>
      <c r="F124" s="698">
        <f>SUM(F125,F126,F127,F129,F131,F132,F134)</f>
        <v>7703.12</v>
      </c>
      <c r="G124" s="721">
        <f t="shared" si="3"/>
        <v>63.4001646090535</v>
      </c>
    </row>
    <row r="125" spans="1:7" s="686" customFormat="1" ht="27.75" customHeight="1" hidden="1">
      <c r="A125" s="713"/>
      <c r="B125" s="714"/>
      <c r="C125" s="1770" t="s">
        <v>988</v>
      </c>
      <c r="D125" s="1771" t="s">
        <v>436</v>
      </c>
      <c r="E125" s="1772">
        <v>0</v>
      </c>
      <c r="F125" s="1772">
        <v>0</v>
      </c>
      <c r="G125" s="721" t="e">
        <f t="shared" si="3"/>
        <v>#DIV/0!</v>
      </c>
    </row>
    <row r="126" spans="1:7" s="397" customFormat="1" ht="23.25" customHeight="1" hidden="1">
      <c r="A126" s="406"/>
      <c r="B126" s="407"/>
      <c r="C126" s="408" t="s">
        <v>987</v>
      </c>
      <c r="D126" s="383" t="s">
        <v>1160</v>
      </c>
      <c r="E126" s="409">
        <v>0</v>
      </c>
      <c r="F126" s="409">
        <v>0</v>
      </c>
      <c r="G126" s="721" t="e">
        <f t="shared" si="3"/>
        <v>#DIV/0!</v>
      </c>
    </row>
    <row r="127" spans="1:7" s="397" customFormat="1" ht="66" customHeight="1" hidden="1">
      <c r="A127" s="406"/>
      <c r="B127" s="407"/>
      <c r="C127" s="408" t="s">
        <v>536</v>
      </c>
      <c r="D127" s="383" t="s">
        <v>712</v>
      </c>
      <c r="E127" s="409">
        <v>0</v>
      </c>
      <c r="F127" s="409">
        <v>0</v>
      </c>
      <c r="G127" s="721" t="e">
        <f t="shared" si="3"/>
        <v>#DIV/0!</v>
      </c>
    </row>
    <row r="128" spans="1:7" s="397" customFormat="1" ht="30.75" customHeight="1" hidden="1">
      <c r="A128" s="406"/>
      <c r="B128" s="407"/>
      <c r="C128" s="408"/>
      <c r="D128" s="412" t="s">
        <v>111</v>
      </c>
      <c r="E128" s="409"/>
      <c r="F128" s="409"/>
      <c r="G128" s="721" t="e">
        <f t="shared" si="3"/>
        <v>#DIV/0!</v>
      </c>
    </row>
    <row r="129" spans="1:7" s="397" customFormat="1" ht="67.5" customHeight="1" hidden="1">
      <c r="A129" s="406"/>
      <c r="B129" s="407"/>
      <c r="C129" s="408" t="s">
        <v>1428</v>
      </c>
      <c r="D129" s="383" t="s">
        <v>712</v>
      </c>
      <c r="E129" s="409">
        <v>0</v>
      </c>
      <c r="F129" s="409">
        <v>0</v>
      </c>
      <c r="G129" s="721" t="e">
        <f t="shared" si="3"/>
        <v>#DIV/0!</v>
      </c>
    </row>
    <row r="130" spans="1:7" s="397" customFormat="1" ht="77.25" customHeight="1" hidden="1">
      <c r="A130" s="406"/>
      <c r="B130" s="407"/>
      <c r="C130" s="408"/>
      <c r="D130" s="383" t="s">
        <v>319</v>
      </c>
      <c r="E130" s="409"/>
      <c r="F130" s="409"/>
      <c r="G130" s="721" t="e">
        <f t="shared" si="3"/>
        <v>#DIV/0!</v>
      </c>
    </row>
    <row r="131" spans="1:7" s="397" customFormat="1" ht="54" customHeight="1" hidden="1">
      <c r="A131" s="381"/>
      <c r="B131" s="394"/>
      <c r="C131" s="394" t="s">
        <v>1615</v>
      </c>
      <c r="D131" s="398" t="s">
        <v>1193</v>
      </c>
      <c r="E131" s="409">
        <v>0</v>
      </c>
      <c r="F131" s="409">
        <v>0</v>
      </c>
      <c r="G131" s="721" t="e">
        <f t="shared" si="3"/>
        <v>#DIV/0!</v>
      </c>
    </row>
    <row r="132" spans="1:7" s="654" customFormat="1" ht="54" customHeight="1">
      <c r="A132" s="636"/>
      <c r="B132" s="651"/>
      <c r="C132" s="651" t="s">
        <v>1271</v>
      </c>
      <c r="D132" s="655" t="s">
        <v>1193</v>
      </c>
      <c r="E132" s="1998">
        <v>12150</v>
      </c>
      <c r="F132" s="1998">
        <v>7703.12</v>
      </c>
      <c r="G132" s="721">
        <f t="shared" si="3"/>
        <v>63.4001646090535</v>
      </c>
    </row>
    <row r="133" spans="1:7" s="654" customFormat="1" ht="80.25" customHeight="1">
      <c r="A133" s="636"/>
      <c r="B133" s="651"/>
      <c r="C133" s="651"/>
      <c r="D133" s="655" t="s">
        <v>537</v>
      </c>
      <c r="E133" s="1998"/>
      <c r="F133" s="1998"/>
      <c r="G133" s="721"/>
    </row>
    <row r="134" spans="1:7" s="397" customFormat="1" ht="66" customHeight="1" hidden="1">
      <c r="A134" s="406"/>
      <c r="B134" s="407"/>
      <c r="C134" s="408" t="s">
        <v>345</v>
      </c>
      <c r="D134" s="412" t="s">
        <v>347</v>
      </c>
      <c r="E134" s="409">
        <v>0</v>
      </c>
      <c r="F134" s="409">
        <v>0</v>
      </c>
      <c r="G134" s="385" t="s">
        <v>1195</v>
      </c>
    </row>
    <row r="135" spans="1:7" s="397" customFormat="1" ht="30.75" customHeight="1" hidden="1">
      <c r="A135" s="406"/>
      <c r="B135" s="407"/>
      <c r="C135" s="408"/>
      <c r="D135" s="412" t="s">
        <v>111</v>
      </c>
      <c r="E135" s="409"/>
      <c r="F135" s="409"/>
      <c r="G135" s="385"/>
    </row>
    <row r="136" spans="1:7" s="646" customFormat="1" ht="42" customHeight="1">
      <c r="A136" s="716" t="s">
        <v>1215</v>
      </c>
      <c r="B136" s="700"/>
      <c r="C136" s="717"/>
      <c r="D136" s="718" t="s">
        <v>4</v>
      </c>
      <c r="E136" s="672">
        <f>SUM(E137,E139,E141)</f>
        <v>7164</v>
      </c>
      <c r="F136" s="672">
        <f>SUM(F137,F139,F141)</f>
        <v>7162.7</v>
      </c>
      <c r="G136" s="719">
        <f t="shared" si="3"/>
        <v>99.9818537130095</v>
      </c>
    </row>
    <row r="137" spans="1:7" s="650" customFormat="1" ht="29.25" customHeight="1">
      <c r="A137" s="694"/>
      <c r="B137" s="695" t="s">
        <v>1167</v>
      </c>
      <c r="C137" s="696"/>
      <c r="D137" s="697" t="s">
        <v>1168</v>
      </c>
      <c r="E137" s="698">
        <f>E138</f>
        <v>7164</v>
      </c>
      <c r="F137" s="698">
        <f>F138</f>
        <v>7162.7</v>
      </c>
      <c r="G137" s="720">
        <f t="shared" si="3"/>
        <v>99.9818537130095</v>
      </c>
    </row>
    <row r="138" spans="1:7" s="654" customFormat="1" ht="56.25" customHeight="1">
      <c r="A138" s="679"/>
      <c r="B138" s="680"/>
      <c r="C138" s="638">
        <v>2010</v>
      </c>
      <c r="D138" s="639" t="s">
        <v>382</v>
      </c>
      <c r="E138" s="682">
        <v>7164</v>
      </c>
      <c r="F138" s="682">
        <v>7162.7</v>
      </c>
      <c r="G138" s="721">
        <f t="shared" si="3"/>
        <v>99.9818537130095</v>
      </c>
    </row>
    <row r="139" spans="1:7" s="397" customFormat="1" ht="18.75" customHeight="1" hidden="1">
      <c r="A139" s="414"/>
      <c r="B139" s="415" t="s">
        <v>1649</v>
      </c>
      <c r="C139" s="416"/>
      <c r="D139" s="417" t="s">
        <v>1650</v>
      </c>
      <c r="E139" s="418">
        <f>E140</f>
        <v>0</v>
      </c>
      <c r="F139" s="418">
        <f>F140</f>
        <v>0</v>
      </c>
      <c r="G139" s="432" t="e">
        <f t="shared" si="3"/>
        <v>#DIV/0!</v>
      </c>
    </row>
    <row r="140" spans="1:7" s="397" customFormat="1" ht="56.25" customHeight="1" hidden="1">
      <c r="A140" s="406"/>
      <c r="B140" s="407"/>
      <c r="C140" s="382">
        <v>2010</v>
      </c>
      <c r="D140" s="383" t="s">
        <v>382</v>
      </c>
      <c r="E140" s="409">
        <v>0</v>
      </c>
      <c r="F140" s="409">
        <v>0</v>
      </c>
      <c r="G140" s="433" t="e">
        <f t="shared" si="3"/>
        <v>#DIV/0!</v>
      </c>
    </row>
    <row r="141" spans="1:7" s="397" customFormat="1" ht="51.75" customHeight="1" hidden="1">
      <c r="A141" s="414"/>
      <c r="B141" s="415" t="s">
        <v>298</v>
      </c>
      <c r="C141" s="416"/>
      <c r="D141" s="417" t="s">
        <v>299</v>
      </c>
      <c r="E141" s="418">
        <f>E142</f>
        <v>0</v>
      </c>
      <c r="F141" s="418">
        <f>F142</f>
        <v>0</v>
      </c>
      <c r="G141" s="432" t="e">
        <f>F141/E141*100</f>
        <v>#DIV/0!</v>
      </c>
    </row>
    <row r="142" spans="1:7" s="397" customFormat="1" ht="56.25" customHeight="1" hidden="1">
      <c r="A142" s="406"/>
      <c r="B142" s="407"/>
      <c r="C142" s="382">
        <v>2010</v>
      </c>
      <c r="D142" s="383" t="s">
        <v>382</v>
      </c>
      <c r="E142" s="409">
        <v>0</v>
      </c>
      <c r="F142" s="409">
        <v>0</v>
      </c>
      <c r="G142" s="433" t="e">
        <f>F142/E142*100</f>
        <v>#DIV/0!</v>
      </c>
    </row>
    <row r="143" spans="1:7" s="650" customFormat="1" ht="29.25" customHeight="1">
      <c r="A143" s="699" t="s">
        <v>5</v>
      </c>
      <c r="B143" s="700"/>
      <c r="C143" s="701"/>
      <c r="D143" s="718" t="s">
        <v>86</v>
      </c>
      <c r="E143" s="672">
        <f>SUM(E144,E152,E154)</f>
        <v>150000</v>
      </c>
      <c r="F143" s="672">
        <f>SUM(F144,F152,F154)</f>
        <v>172814.85</v>
      </c>
      <c r="G143" s="628">
        <f t="shared" si="3"/>
        <v>115.2099</v>
      </c>
    </row>
    <row r="144" spans="1:7" s="650" customFormat="1" ht="20.25" customHeight="1" hidden="1">
      <c r="A144" s="694"/>
      <c r="B144" s="695" t="s">
        <v>1729</v>
      </c>
      <c r="C144" s="701"/>
      <c r="D144" s="697" t="s">
        <v>1730</v>
      </c>
      <c r="E144" s="698">
        <f>SUM(E145,E146,E148,E150)</f>
        <v>0</v>
      </c>
      <c r="F144" s="698">
        <f>SUM(F145,F146,F148,F150)</f>
        <v>0</v>
      </c>
      <c r="G144" s="634" t="e">
        <f aca="true" t="shared" si="4" ref="G144:G162">F144/E144*100</f>
        <v>#DIV/0!</v>
      </c>
    </row>
    <row r="145" spans="1:7" s="654" customFormat="1" ht="21.75" customHeight="1" hidden="1">
      <c r="A145" s="722"/>
      <c r="B145" s="723"/>
      <c r="C145" s="680" t="s">
        <v>987</v>
      </c>
      <c r="D145" s="639" t="s">
        <v>1160</v>
      </c>
      <c r="E145" s="682"/>
      <c r="F145" s="682"/>
      <c r="G145" s="641" t="e">
        <f t="shared" si="4"/>
        <v>#DIV/0!</v>
      </c>
    </row>
    <row r="146" spans="1:7" s="654" customFormat="1" ht="70.5" customHeight="1" hidden="1">
      <c r="A146" s="722"/>
      <c r="B146" s="723"/>
      <c r="C146" s="681" t="s">
        <v>536</v>
      </c>
      <c r="D146" s="639" t="s">
        <v>712</v>
      </c>
      <c r="E146" s="682">
        <v>0</v>
      </c>
      <c r="F146" s="682">
        <v>0</v>
      </c>
      <c r="G146" s="641" t="e">
        <f t="shared" si="4"/>
        <v>#DIV/0!</v>
      </c>
    </row>
    <row r="147" spans="1:7" s="654" customFormat="1" ht="27" customHeight="1" hidden="1">
      <c r="A147" s="722"/>
      <c r="B147" s="723"/>
      <c r="C147" s="680"/>
      <c r="D147" s="692" t="s">
        <v>111</v>
      </c>
      <c r="E147" s="682"/>
      <c r="F147" s="682"/>
      <c r="G147" s="641"/>
    </row>
    <row r="148" spans="1:7" s="654" customFormat="1" ht="67.5" customHeight="1" hidden="1">
      <c r="A148" s="722"/>
      <c r="B148" s="723"/>
      <c r="C148" s="680" t="s">
        <v>345</v>
      </c>
      <c r="D148" s="692" t="s">
        <v>347</v>
      </c>
      <c r="E148" s="682">
        <v>0</v>
      </c>
      <c r="F148" s="682">
        <v>0</v>
      </c>
      <c r="G148" s="641" t="e">
        <f t="shared" si="4"/>
        <v>#DIV/0!</v>
      </c>
    </row>
    <row r="149" spans="1:7" s="654" customFormat="1" ht="24" customHeight="1" hidden="1">
      <c r="A149" s="722"/>
      <c r="B149" s="723"/>
      <c r="C149" s="680"/>
      <c r="D149" s="692" t="s">
        <v>111</v>
      </c>
      <c r="E149" s="682"/>
      <c r="F149" s="682"/>
      <c r="G149" s="641"/>
    </row>
    <row r="150" spans="1:7" s="654" customFormat="1" ht="56.25" customHeight="1" hidden="1">
      <c r="A150" s="722"/>
      <c r="B150" s="723"/>
      <c r="C150" s="680" t="s">
        <v>348</v>
      </c>
      <c r="D150" s="655" t="s">
        <v>807</v>
      </c>
      <c r="E150" s="682">
        <v>0</v>
      </c>
      <c r="F150" s="682">
        <v>0</v>
      </c>
      <c r="G150" s="641" t="e">
        <f t="shared" si="4"/>
        <v>#DIV/0!</v>
      </c>
    </row>
    <row r="151" spans="1:7" s="654" customFormat="1" ht="27.75" customHeight="1" hidden="1">
      <c r="A151" s="722"/>
      <c r="B151" s="723"/>
      <c r="C151" s="680"/>
      <c r="D151" s="692" t="s">
        <v>111</v>
      </c>
      <c r="E151" s="682"/>
      <c r="F151" s="682"/>
      <c r="G151" s="641"/>
    </row>
    <row r="152" spans="1:7" s="650" customFormat="1" ht="17.25" customHeight="1" hidden="1">
      <c r="A152" s="694"/>
      <c r="B152" s="695" t="s">
        <v>7</v>
      </c>
      <c r="C152" s="701"/>
      <c r="D152" s="703" t="s">
        <v>8</v>
      </c>
      <c r="E152" s="698">
        <f>SUM(E153)</f>
        <v>0</v>
      </c>
      <c r="F152" s="698">
        <f>SUM(F153)</f>
        <v>0</v>
      </c>
      <c r="G152" s="634" t="e">
        <f t="shared" si="4"/>
        <v>#DIV/0!</v>
      </c>
    </row>
    <row r="153" spans="1:7" s="654" customFormat="1" ht="57.75" customHeight="1" hidden="1">
      <c r="A153" s="679"/>
      <c r="B153" s="680"/>
      <c r="C153" s="638">
        <v>2010</v>
      </c>
      <c r="D153" s="639" t="s">
        <v>382</v>
      </c>
      <c r="E153" s="682">
        <v>0</v>
      </c>
      <c r="F153" s="682">
        <v>0</v>
      </c>
      <c r="G153" s="641" t="e">
        <f t="shared" si="4"/>
        <v>#DIV/0!</v>
      </c>
    </row>
    <row r="154" spans="1:7" s="650" customFormat="1" ht="18" customHeight="1">
      <c r="A154" s="694"/>
      <c r="B154" s="695" t="s">
        <v>398</v>
      </c>
      <c r="C154" s="696"/>
      <c r="D154" s="697" t="s">
        <v>112</v>
      </c>
      <c r="E154" s="698">
        <f>E155</f>
        <v>150000</v>
      </c>
      <c r="F154" s="698">
        <f>F155</f>
        <v>172814.85</v>
      </c>
      <c r="G154" s="634">
        <f t="shared" si="4"/>
        <v>115.2099</v>
      </c>
    </row>
    <row r="155" spans="1:7" s="654" customFormat="1" ht="27" customHeight="1">
      <c r="A155" s="679"/>
      <c r="B155" s="680"/>
      <c r="C155" s="681" t="s">
        <v>988</v>
      </c>
      <c r="D155" s="639" t="s">
        <v>436</v>
      </c>
      <c r="E155" s="682">
        <v>150000</v>
      </c>
      <c r="F155" s="682">
        <v>172814.85</v>
      </c>
      <c r="G155" s="641">
        <f t="shared" si="4"/>
        <v>115.2099</v>
      </c>
    </row>
    <row r="156" spans="1:8" s="397" customFormat="1" ht="21" customHeight="1" hidden="1">
      <c r="A156" s="414"/>
      <c r="B156" s="415" t="s">
        <v>1731</v>
      </c>
      <c r="C156" s="416"/>
      <c r="D156" s="417" t="s">
        <v>215</v>
      </c>
      <c r="E156" s="418">
        <f>SUM(E157,E158,E159)</f>
        <v>0</v>
      </c>
      <c r="F156" s="418">
        <f>SUM(F157,F158,F159)</f>
        <v>0</v>
      </c>
      <c r="G156" s="380" t="e">
        <f>F156/E156*100</f>
        <v>#DIV/0!</v>
      </c>
      <c r="H156" s="393"/>
    </row>
    <row r="157" spans="1:7" s="397" customFormat="1" ht="22.5" customHeight="1" hidden="1">
      <c r="A157" s="406"/>
      <c r="B157" s="407"/>
      <c r="C157" s="408" t="s">
        <v>987</v>
      </c>
      <c r="D157" s="383" t="s">
        <v>1160</v>
      </c>
      <c r="E157" s="409">
        <v>0</v>
      </c>
      <c r="F157" s="409">
        <v>0</v>
      </c>
      <c r="G157" s="385" t="e">
        <f>F157/E157*100</f>
        <v>#DIV/0!</v>
      </c>
    </row>
    <row r="158" spans="1:7" s="397" customFormat="1" ht="51.75" customHeight="1" hidden="1">
      <c r="A158" s="406"/>
      <c r="B158" s="407"/>
      <c r="C158" s="408" t="s">
        <v>1614</v>
      </c>
      <c r="D158" s="383" t="s">
        <v>103</v>
      </c>
      <c r="E158" s="409">
        <v>0</v>
      </c>
      <c r="F158" s="409">
        <v>0</v>
      </c>
      <c r="G158" s="385" t="e">
        <f>F158/E158*100</f>
        <v>#DIV/0!</v>
      </c>
    </row>
    <row r="159" spans="1:7" s="397" customFormat="1" ht="54" customHeight="1" hidden="1">
      <c r="A159" s="406"/>
      <c r="B159" s="407"/>
      <c r="C159" s="408" t="s">
        <v>1615</v>
      </c>
      <c r="D159" s="383" t="s">
        <v>104</v>
      </c>
      <c r="E159" s="409">
        <v>0</v>
      </c>
      <c r="F159" s="409">
        <v>0</v>
      </c>
      <c r="G159" s="385" t="e">
        <f>F159/E159*100</f>
        <v>#DIV/0!</v>
      </c>
    </row>
    <row r="160" spans="1:7" s="646" customFormat="1" ht="69" customHeight="1">
      <c r="A160" s="716" t="s">
        <v>284</v>
      </c>
      <c r="B160" s="700"/>
      <c r="C160" s="700"/>
      <c r="D160" s="718" t="s">
        <v>450</v>
      </c>
      <c r="E160" s="672">
        <f>SUM(E161,E164,E174,E187,E197)</f>
        <v>76990156</v>
      </c>
      <c r="F160" s="672">
        <f>SUM(F161,F164,F174,F187,F197)</f>
        <v>75853220.98</v>
      </c>
      <c r="G160" s="628">
        <f t="shared" si="4"/>
        <v>98.52327222197083</v>
      </c>
    </row>
    <row r="161" spans="1:7" s="650" customFormat="1" ht="19.5" customHeight="1">
      <c r="A161" s="694"/>
      <c r="B161" s="695" t="s">
        <v>1169</v>
      </c>
      <c r="C161" s="695"/>
      <c r="D161" s="703" t="s">
        <v>1170</v>
      </c>
      <c r="E161" s="698">
        <f>E162+E163</f>
        <v>400000</v>
      </c>
      <c r="F161" s="698">
        <f>F162+F163</f>
        <v>462277.36</v>
      </c>
      <c r="G161" s="634">
        <f t="shared" si="4"/>
        <v>115.56933999999998</v>
      </c>
    </row>
    <row r="162" spans="1:7" s="654" customFormat="1" ht="29.25" customHeight="1">
      <c r="A162" s="679"/>
      <c r="B162" s="680"/>
      <c r="C162" s="680" t="s">
        <v>998</v>
      </c>
      <c r="D162" s="639" t="s">
        <v>340</v>
      </c>
      <c r="E162" s="682">
        <v>400000</v>
      </c>
      <c r="F162" s="653">
        <v>458811.49</v>
      </c>
      <c r="G162" s="641">
        <f t="shared" si="4"/>
        <v>114.7028725</v>
      </c>
    </row>
    <row r="163" spans="1:7" s="654" customFormat="1" ht="29.25" customHeight="1">
      <c r="A163" s="679"/>
      <c r="B163" s="680"/>
      <c r="C163" s="681" t="s">
        <v>999</v>
      </c>
      <c r="D163" s="639" t="s">
        <v>334</v>
      </c>
      <c r="E163" s="682">
        <v>0</v>
      </c>
      <c r="F163" s="653">
        <v>3465.87</v>
      </c>
      <c r="G163" s="641" t="s">
        <v>1195</v>
      </c>
    </row>
    <row r="164" spans="1:7" s="650" customFormat="1" ht="57.75" customHeight="1">
      <c r="A164" s="694"/>
      <c r="B164" s="712" t="s">
        <v>605</v>
      </c>
      <c r="C164" s="695"/>
      <c r="D164" s="697" t="s">
        <v>447</v>
      </c>
      <c r="E164" s="698">
        <f>SUM(E165,E166,E167,E168,E169,E170,E171,E172,E173)</f>
        <v>25773238</v>
      </c>
      <c r="F164" s="698">
        <f>SUM(F165,F166,F167,F168,F169,F170,F171,F172,F173)</f>
        <v>25353997.46</v>
      </c>
      <c r="G164" s="634">
        <f aca="true" t="shared" si="5" ref="G164:G169">F164/E164*100</f>
        <v>98.3733493633978</v>
      </c>
    </row>
    <row r="165" spans="1:7" s="654" customFormat="1" ht="19.5" customHeight="1">
      <c r="A165" s="679"/>
      <c r="B165" s="680"/>
      <c r="C165" s="680" t="s">
        <v>1000</v>
      </c>
      <c r="D165" s="704" t="s">
        <v>1171</v>
      </c>
      <c r="E165" s="682">
        <v>24750000</v>
      </c>
      <c r="F165" s="682">
        <v>24516976.56</v>
      </c>
      <c r="G165" s="641">
        <f t="shared" si="5"/>
        <v>99.05849115151514</v>
      </c>
    </row>
    <row r="166" spans="1:7" s="654" customFormat="1" ht="19.5" customHeight="1">
      <c r="A166" s="679"/>
      <c r="B166" s="680"/>
      <c r="C166" s="680" t="s">
        <v>1001</v>
      </c>
      <c r="D166" s="704" t="s">
        <v>1172</v>
      </c>
      <c r="E166" s="682">
        <v>12000</v>
      </c>
      <c r="F166" s="682">
        <v>9105</v>
      </c>
      <c r="G166" s="641">
        <f t="shared" si="5"/>
        <v>75.875</v>
      </c>
    </row>
    <row r="167" spans="1:7" s="654" customFormat="1" ht="19.5" customHeight="1">
      <c r="A167" s="679"/>
      <c r="B167" s="680"/>
      <c r="C167" s="680" t="s">
        <v>1002</v>
      </c>
      <c r="D167" s="704" t="s">
        <v>1173</v>
      </c>
      <c r="E167" s="682">
        <v>70000</v>
      </c>
      <c r="F167" s="682">
        <v>75481</v>
      </c>
      <c r="G167" s="641">
        <f t="shared" si="5"/>
        <v>107.83</v>
      </c>
    </row>
    <row r="168" spans="1:7" s="654" customFormat="1" ht="19.5" customHeight="1">
      <c r="A168" s="679"/>
      <c r="B168" s="680"/>
      <c r="C168" s="680" t="s">
        <v>533</v>
      </c>
      <c r="D168" s="704" t="s">
        <v>1174</v>
      </c>
      <c r="E168" s="682">
        <v>320000</v>
      </c>
      <c r="F168" s="682">
        <v>344698.04</v>
      </c>
      <c r="G168" s="641">
        <f t="shared" si="5"/>
        <v>107.71813749999998</v>
      </c>
    </row>
    <row r="169" spans="1:7" s="654" customFormat="1" ht="19.5" customHeight="1">
      <c r="A169" s="679"/>
      <c r="B169" s="680"/>
      <c r="C169" s="680" t="s">
        <v>534</v>
      </c>
      <c r="D169" s="704" t="s">
        <v>1175</v>
      </c>
      <c r="E169" s="682">
        <v>65000</v>
      </c>
      <c r="F169" s="682">
        <v>66546</v>
      </c>
      <c r="G169" s="641">
        <f t="shared" si="5"/>
        <v>102.37846153846152</v>
      </c>
    </row>
    <row r="170" spans="1:7" s="397" customFormat="1" ht="19.5" customHeight="1" hidden="1">
      <c r="A170" s="406"/>
      <c r="B170" s="407"/>
      <c r="C170" s="407"/>
      <c r="D170" s="424"/>
      <c r="E170" s="409"/>
      <c r="F170" s="409"/>
      <c r="G170" s="385"/>
    </row>
    <row r="171" spans="1:7" s="397" customFormat="1" ht="19.5" customHeight="1">
      <c r="A171" s="406"/>
      <c r="B171" s="407"/>
      <c r="C171" s="407" t="s">
        <v>923</v>
      </c>
      <c r="D171" s="424" t="s">
        <v>98</v>
      </c>
      <c r="E171" s="409">
        <v>0</v>
      </c>
      <c r="F171" s="409">
        <v>3538.26</v>
      </c>
      <c r="G171" s="385" t="s">
        <v>1195</v>
      </c>
    </row>
    <row r="172" spans="1:7" s="654" customFormat="1" ht="28.5" customHeight="1">
      <c r="A172" s="679"/>
      <c r="B172" s="680"/>
      <c r="C172" s="680" t="s">
        <v>999</v>
      </c>
      <c r="D172" s="639" t="s">
        <v>334</v>
      </c>
      <c r="E172" s="682">
        <v>290000</v>
      </c>
      <c r="F172" s="682">
        <v>80227.6</v>
      </c>
      <c r="G172" s="641">
        <f aca="true" t="shared" si="6" ref="G172:G183">F172/E172*100</f>
        <v>27.664689655172413</v>
      </c>
    </row>
    <row r="173" spans="1:7" s="654" customFormat="1" ht="28.5" customHeight="1">
      <c r="A173" s="679"/>
      <c r="B173" s="680"/>
      <c r="C173" s="680" t="s">
        <v>472</v>
      </c>
      <c r="D173" s="639" t="s">
        <v>473</v>
      </c>
      <c r="E173" s="682">
        <v>266238</v>
      </c>
      <c r="F173" s="682">
        <v>257425</v>
      </c>
      <c r="G173" s="641">
        <f t="shared" si="6"/>
        <v>96.68980385970447</v>
      </c>
    </row>
    <row r="174" spans="1:7" s="650" customFormat="1" ht="56.25" customHeight="1">
      <c r="A174" s="694"/>
      <c r="B174" s="695" t="s">
        <v>974</v>
      </c>
      <c r="C174" s="695"/>
      <c r="D174" s="697" t="s">
        <v>975</v>
      </c>
      <c r="E174" s="698">
        <f>SUM(E175,E176,E177,E178,E179,E180,E181,E182,E183,E184,E186)</f>
        <v>15150600</v>
      </c>
      <c r="F174" s="698">
        <f>SUM(F175,F176,F177,F178,F179,F180,F181,F182,F183,F184,F186)</f>
        <v>15338183.349999998</v>
      </c>
      <c r="G174" s="634">
        <f t="shared" si="6"/>
        <v>101.23812489274351</v>
      </c>
    </row>
    <row r="175" spans="1:7" s="654" customFormat="1" ht="21" customHeight="1">
      <c r="A175" s="679"/>
      <c r="B175" s="680"/>
      <c r="C175" s="680" t="s">
        <v>1000</v>
      </c>
      <c r="D175" s="704" t="s">
        <v>1171</v>
      </c>
      <c r="E175" s="682">
        <v>6200000</v>
      </c>
      <c r="F175" s="682">
        <v>6345554.55</v>
      </c>
      <c r="G175" s="641">
        <f t="shared" si="6"/>
        <v>102.34765403225805</v>
      </c>
    </row>
    <row r="176" spans="1:7" s="654" customFormat="1" ht="21" customHeight="1">
      <c r="A176" s="679"/>
      <c r="B176" s="680"/>
      <c r="C176" s="680" t="s">
        <v>1001</v>
      </c>
      <c r="D176" s="704" t="s">
        <v>1172</v>
      </c>
      <c r="E176" s="682">
        <v>50000</v>
      </c>
      <c r="F176" s="682">
        <v>51372.82</v>
      </c>
      <c r="G176" s="641">
        <f t="shared" si="6"/>
        <v>102.74564</v>
      </c>
    </row>
    <row r="177" spans="1:7" s="654" customFormat="1" ht="21" customHeight="1">
      <c r="A177" s="679"/>
      <c r="B177" s="680"/>
      <c r="C177" s="680" t="s">
        <v>1002</v>
      </c>
      <c r="D177" s="704" t="s">
        <v>1173</v>
      </c>
      <c r="E177" s="682">
        <v>600</v>
      </c>
      <c r="F177" s="682">
        <v>652.93</v>
      </c>
      <c r="G177" s="641">
        <f t="shared" si="6"/>
        <v>108.82166666666666</v>
      </c>
    </row>
    <row r="178" spans="1:7" s="654" customFormat="1" ht="21" customHeight="1">
      <c r="A178" s="679"/>
      <c r="B178" s="680"/>
      <c r="C178" s="680" t="s">
        <v>533</v>
      </c>
      <c r="D178" s="704" t="s">
        <v>1174</v>
      </c>
      <c r="E178" s="682">
        <v>200000</v>
      </c>
      <c r="F178" s="682">
        <v>263190.26</v>
      </c>
      <c r="G178" s="641">
        <f t="shared" si="6"/>
        <v>131.59513</v>
      </c>
    </row>
    <row r="179" spans="1:7" s="654" customFormat="1" ht="21" customHeight="1">
      <c r="A179" s="679"/>
      <c r="B179" s="680"/>
      <c r="C179" s="680" t="s">
        <v>535</v>
      </c>
      <c r="D179" s="704" t="s">
        <v>1176</v>
      </c>
      <c r="E179" s="682">
        <v>250000</v>
      </c>
      <c r="F179" s="653">
        <v>166003.5</v>
      </c>
      <c r="G179" s="641">
        <f t="shared" si="6"/>
        <v>66.4014</v>
      </c>
    </row>
    <row r="180" spans="1:7" s="654" customFormat="1" ht="21" customHeight="1">
      <c r="A180" s="679"/>
      <c r="B180" s="680"/>
      <c r="C180" s="680" t="s">
        <v>539</v>
      </c>
      <c r="D180" s="704" t="s">
        <v>540</v>
      </c>
      <c r="E180" s="682">
        <v>80000</v>
      </c>
      <c r="F180" s="653">
        <v>78764.57</v>
      </c>
      <c r="G180" s="641">
        <f t="shared" si="6"/>
        <v>98.4557125</v>
      </c>
    </row>
    <row r="181" spans="1:7" s="654" customFormat="1" ht="39" customHeight="1">
      <c r="A181" s="679"/>
      <c r="B181" s="680"/>
      <c r="C181" s="680" t="s">
        <v>438</v>
      </c>
      <c r="D181" s="639" t="s">
        <v>339</v>
      </c>
      <c r="E181" s="682">
        <v>5700000</v>
      </c>
      <c r="F181" s="682">
        <v>5660294.25</v>
      </c>
      <c r="G181" s="641">
        <f t="shared" si="6"/>
        <v>99.30340789473684</v>
      </c>
    </row>
    <row r="182" spans="1:7" s="654" customFormat="1" ht="21" customHeight="1">
      <c r="A182" s="679"/>
      <c r="B182" s="680"/>
      <c r="C182" s="680" t="s">
        <v>556</v>
      </c>
      <c r="D182" s="704" t="s">
        <v>1177</v>
      </c>
      <c r="E182" s="682">
        <v>600000</v>
      </c>
      <c r="F182" s="682">
        <v>607866.5</v>
      </c>
      <c r="G182" s="641">
        <f t="shared" si="6"/>
        <v>101.31108333333334</v>
      </c>
    </row>
    <row r="183" spans="1:7" s="654" customFormat="1" ht="21" customHeight="1">
      <c r="A183" s="679"/>
      <c r="B183" s="680"/>
      <c r="C183" s="680" t="s">
        <v>534</v>
      </c>
      <c r="D183" s="704" t="s">
        <v>1175</v>
      </c>
      <c r="E183" s="682">
        <v>2000000</v>
      </c>
      <c r="F183" s="653">
        <v>2092647.51</v>
      </c>
      <c r="G183" s="641">
        <f t="shared" si="6"/>
        <v>104.6323755</v>
      </c>
    </row>
    <row r="184" spans="1:8" s="654" customFormat="1" ht="21" customHeight="1">
      <c r="A184" s="679"/>
      <c r="B184" s="680"/>
      <c r="C184" s="724" t="s">
        <v>923</v>
      </c>
      <c r="D184" s="704" t="s">
        <v>98</v>
      </c>
      <c r="E184" s="682">
        <v>0</v>
      </c>
      <c r="F184" s="682">
        <v>639.68</v>
      </c>
      <c r="G184" s="641" t="s">
        <v>1195</v>
      </c>
      <c r="H184" s="725"/>
    </row>
    <row r="185" spans="1:7" s="397" customFormat="1" ht="27.75" customHeight="1" hidden="1">
      <c r="A185" s="406"/>
      <c r="B185" s="407"/>
      <c r="C185" s="407" t="s">
        <v>1155</v>
      </c>
      <c r="D185" s="383" t="s">
        <v>732</v>
      </c>
      <c r="E185" s="409">
        <v>0</v>
      </c>
      <c r="F185" s="396"/>
      <c r="G185" s="385" t="s">
        <v>1195</v>
      </c>
    </row>
    <row r="186" spans="1:7" s="654" customFormat="1" ht="28.5" customHeight="1">
      <c r="A186" s="679"/>
      <c r="B186" s="680"/>
      <c r="C186" s="680" t="s">
        <v>999</v>
      </c>
      <c r="D186" s="639" t="s">
        <v>334</v>
      </c>
      <c r="E186" s="682">
        <v>70000</v>
      </c>
      <c r="F186" s="682">
        <v>71196.78</v>
      </c>
      <c r="G186" s="641">
        <f aca="true" t="shared" si="7" ref="G186:G194">F186/E186*100</f>
        <v>101.70968571428571</v>
      </c>
    </row>
    <row r="187" spans="1:7" s="650" customFormat="1" ht="41.25" customHeight="1">
      <c r="A187" s="694"/>
      <c r="B187" s="695" t="s">
        <v>1178</v>
      </c>
      <c r="C187" s="695"/>
      <c r="D187" s="697" t="s">
        <v>390</v>
      </c>
      <c r="E187" s="698">
        <f>SUM(E188,E189,E190,E191,E192,E193,E194,E195,E196)</f>
        <v>6660000</v>
      </c>
      <c r="F187" s="698">
        <f>SUM(F188,F189,F190,F191,F192,F193,F194,F195,F196)</f>
        <v>6579722.890000001</v>
      </c>
      <c r="G187" s="634">
        <f t="shared" si="7"/>
        <v>98.794637987988</v>
      </c>
    </row>
    <row r="188" spans="1:7" s="654" customFormat="1" ht="19.5" customHeight="1">
      <c r="A188" s="679"/>
      <c r="B188" s="680"/>
      <c r="C188" s="680" t="s">
        <v>557</v>
      </c>
      <c r="D188" s="704" t="s">
        <v>1187</v>
      </c>
      <c r="E188" s="682">
        <v>500000</v>
      </c>
      <c r="F188" s="682">
        <v>404486.93</v>
      </c>
      <c r="G188" s="641">
        <f t="shared" si="7"/>
        <v>80.897386</v>
      </c>
    </row>
    <row r="189" spans="1:7" s="654" customFormat="1" ht="19.5" customHeight="1">
      <c r="A189" s="679"/>
      <c r="B189" s="680"/>
      <c r="C189" s="680" t="s">
        <v>559</v>
      </c>
      <c r="D189" s="704" t="s">
        <v>389</v>
      </c>
      <c r="E189" s="682">
        <v>7000</v>
      </c>
      <c r="F189" s="682">
        <v>6121.66</v>
      </c>
      <c r="G189" s="641">
        <f t="shared" si="7"/>
        <v>87.45228571428572</v>
      </c>
    </row>
    <row r="190" spans="1:7" s="654" customFormat="1" ht="27" customHeight="1">
      <c r="A190" s="679"/>
      <c r="B190" s="680"/>
      <c r="C190" s="680" t="s">
        <v>560</v>
      </c>
      <c r="D190" s="639" t="s">
        <v>99</v>
      </c>
      <c r="E190" s="682">
        <v>1700000</v>
      </c>
      <c r="F190" s="682">
        <v>1769501.69</v>
      </c>
      <c r="G190" s="641">
        <f t="shared" si="7"/>
        <v>104.08833470588235</v>
      </c>
    </row>
    <row r="191" spans="1:7" s="654" customFormat="1" ht="46.5" customHeight="1">
      <c r="A191" s="679"/>
      <c r="B191" s="680"/>
      <c r="C191" s="680" t="s">
        <v>995</v>
      </c>
      <c r="D191" s="639" t="s">
        <v>1551</v>
      </c>
      <c r="E191" s="682">
        <v>4443000</v>
      </c>
      <c r="F191" s="682">
        <v>4382364.8</v>
      </c>
      <c r="G191" s="641">
        <f t="shared" si="7"/>
        <v>98.6352644609498</v>
      </c>
    </row>
    <row r="192" spans="1:7" s="654" customFormat="1" ht="29.25" customHeight="1">
      <c r="A192" s="679"/>
      <c r="B192" s="680"/>
      <c r="C192" s="680" t="s">
        <v>988</v>
      </c>
      <c r="D192" s="639" t="s">
        <v>436</v>
      </c>
      <c r="E192" s="682">
        <v>0</v>
      </c>
      <c r="F192" s="682">
        <v>1036.2</v>
      </c>
      <c r="G192" s="641" t="s">
        <v>1195</v>
      </c>
    </row>
    <row r="193" spans="1:7" s="654" customFormat="1" ht="19.5" customHeight="1">
      <c r="A193" s="679"/>
      <c r="B193" s="680"/>
      <c r="C193" s="681" t="s">
        <v>561</v>
      </c>
      <c r="D193" s="639" t="s">
        <v>384</v>
      </c>
      <c r="E193" s="682">
        <v>10000</v>
      </c>
      <c r="F193" s="682">
        <v>10848.5</v>
      </c>
      <c r="G193" s="641">
        <f t="shared" si="7"/>
        <v>108.48500000000001</v>
      </c>
    </row>
    <row r="194" spans="1:7" s="654" customFormat="1" ht="19.5" customHeight="1" hidden="1">
      <c r="A194" s="679"/>
      <c r="B194" s="680"/>
      <c r="C194" s="681" t="s">
        <v>989</v>
      </c>
      <c r="D194" s="639" t="s">
        <v>1157</v>
      </c>
      <c r="E194" s="682">
        <v>0</v>
      </c>
      <c r="F194" s="682">
        <v>0</v>
      </c>
      <c r="G194" s="641" t="e">
        <f t="shared" si="7"/>
        <v>#DIV/0!</v>
      </c>
    </row>
    <row r="195" spans="1:7" s="654" customFormat="1" ht="27.75" customHeight="1">
      <c r="A195" s="679"/>
      <c r="B195" s="680"/>
      <c r="C195" s="681" t="s">
        <v>999</v>
      </c>
      <c r="D195" s="639" t="s">
        <v>334</v>
      </c>
      <c r="E195" s="682">
        <v>0</v>
      </c>
      <c r="F195" s="682">
        <v>3146.15</v>
      </c>
      <c r="G195" s="634" t="s">
        <v>1195</v>
      </c>
    </row>
    <row r="196" spans="1:7" s="728" customFormat="1" ht="19.5" customHeight="1">
      <c r="A196" s="708"/>
      <c r="B196" s="709"/>
      <c r="C196" s="726" t="s">
        <v>986</v>
      </c>
      <c r="D196" s="727" t="s">
        <v>1161</v>
      </c>
      <c r="E196" s="711">
        <v>0</v>
      </c>
      <c r="F196" s="711">
        <v>2216.96</v>
      </c>
      <c r="G196" s="665" t="s">
        <v>1195</v>
      </c>
    </row>
    <row r="197" spans="1:7" s="650" customFormat="1" ht="30" customHeight="1">
      <c r="A197" s="694"/>
      <c r="B197" s="695" t="s">
        <v>1188</v>
      </c>
      <c r="C197" s="695"/>
      <c r="D197" s="697" t="s">
        <v>1189</v>
      </c>
      <c r="E197" s="698">
        <f>E198+E199</f>
        <v>29006318</v>
      </c>
      <c r="F197" s="698">
        <f>F198+F199</f>
        <v>28119039.92</v>
      </c>
      <c r="G197" s="634">
        <f aca="true" t="shared" si="8" ref="G197:G206">F197/E197*100</f>
        <v>96.94108683494403</v>
      </c>
    </row>
    <row r="198" spans="1:7" s="654" customFormat="1" ht="19.5" customHeight="1">
      <c r="A198" s="679"/>
      <c r="B198" s="680"/>
      <c r="C198" s="680" t="s">
        <v>562</v>
      </c>
      <c r="D198" s="704" t="s">
        <v>1192</v>
      </c>
      <c r="E198" s="682">
        <v>27706318</v>
      </c>
      <c r="F198" s="653">
        <v>26696092</v>
      </c>
      <c r="G198" s="641">
        <f t="shared" si="8"/>
        <v>96.35380637730354</v>
      </c>
    </row>
    <row r="199" spans="1:7" s="654" customFormat="1" ht="19.5" customHeight="1">
      <c r="A199" s="679"/>
      <c r="B199" s="680"/>
      <c r="C199" s="680" t="s">
        <v>563</v>
      </c>
      <c r="D199" s="704" t="s">
        <v>1196</v>
      </c>
      <c r="E199" s="682">
        <v>1300000</v>
      </c>
      <c r="F199" s="653">
        <v>1422947.92</v>
      </c>
      <c r="G199" s="641">
        <f t="shared" si="8"/>
        <v>109.4575323076923</v>
      </c>
    </row>
    <row r="200" spans="1:7" s="646" customFormat="1" ht="19.5" customHeight="1">
      <c r="A200" s="699" t="s">
        <v>10</v>
      </c>
      <c r="B200" s="700"/>
      <c r="C200" s="700"/>
      <c r="D200" s="702" t="s">
        <v>11</v>
      </c>
      <c r="E200" s="672">
        <f>SUM(E201,E203,E205)</f>
        <v>21272501</v>
      </c>
      <c r="F200" s="672">
        <f>SUM(F201,F203,F205)</f>
        <v>20574662.36</v>
      </c>
      <c r="G200" s="628">
        <f t="shared" si="8"/>
        <v>96.71952705514035</v>
      </c>
    </row>
    <row r="201" spans="1:7" s="650" customFormat="1" ht="30.75" customHeight="1">
      <c r="A201" s="694"/>
      <c r="B201" s="695" t="s">
        <v>1198</v>
      </c>
      <c r="C201" s="695"/>
      <c r="D201" s="697" t="s">
        <v>1200</v>
      </c>
      <c r="E201" s="698">
        <f>E202</f>
        <v>16415150</v>
      </c>
      <c r="F201" s="698">
        <f>F202</f>
        <v>16415150</v>
      </c>
      <c r="G201" s="634">
        <f t="shared" si="8"/>
        <v>100</v>
      </c>
    </row>
    <row r="202" spans="1:7" s="646" customFormat="1" ht="19.5" customHeight="1">
      <c r="A202" s="699"/>
      <c r="B202" s="700"/>
      <c r="C202" s="680" t="s">
        <v>564</v>
      </c>
      <c r="D202" s="639" t="s">
        <v>386</v>
      </c>
      <c r="E202" s="682">
        <v>16415150</v>
      </c>
      <c r="F202" s="682">
        <v>16415150</v>
      </c>
      <c r="G202" s="641">
        <f t="shared" si="8"/>
        <v>100</v>
      </c>
    </row>
    <row r="203" spans="1:7" s="650" customFormat="1" ht="30.75" customHeight="1" hidden="1">
      <c r="A203" s="694"/>
      <c r="B203" s="695" t="s">
        <v>1202</v>
      </c>
      <c r="C203" s="695"/>
      <c r="D203" s="697" t="s">
        <v>742</v>
      </c>
      <c r="E203" s="698">
        <f>E204</f>
        <v>0</v>
      </c>
      <c r="F203" s="698">
        <f>F204</f>
        <v>0</v>
      </c>
      <c r="G203" s="634" t="s">
        <v>1195</v>
      </c>
    </row>
    <row r="204" spans="1:7" s="646" customFormat="1" ht="19.5" customHeight="1" hidden="1">
      <c r="A204" s="699"/>
      <c r="B204" s="700"/>
      <c r="C204" s="680" t="s">
        <v>743</v>
      </c>
      <c r="D204" s="639" t="s">
        <v>205</v>
      </c>
      <c r="E204" s="682">
        <v>0</v>
      </c>
      <c r="F204" s="682">
        <v>0</v>
      </c>
      <c r="G204" s="641" t="s">
        <v>1195</v>
      </c>
    </row>
    <row r="205" spans="1:7" s="650" customFormat="1" ht="19.5" customHeight="1">
      <c r="A205" s="694"/>
      <c r="B205" s="695" t="s">
        <v>1203</v>
      </c>
      <c r="C205" s="695"/>
      <c r="D205" s="703" t="s">
        <v>1204</v>
      </c>
      <c r="E205" s="698">
        <f>SUM(E207,E208,E209,E210,E211,E212,E213,E214,E215,E216,E217)</f>
        <v>4857351</v>
      </c>
      <c r="F205" s="698">
        <f>SUM(F207,F208,F209,F210,F211,F212,F213,F214,F215,F216,F217)</f>
        <v>4159512.36</v>
      </c>
      <c r="G205" s="634">
        <f t="shared" si="8"/>
        <v>85.6333495355802</v>
      </c>
    </row>
    <row r="206" spans="1:7" s="654" customFormat="1" ht="30" customHeight="1" hidden="1">
      <c r="A206" s="679"/>
      <c r="B206" s="680"/>
      <c r="C206" s="680" t="s">
        <v>435</v>
      </c>
      <c r="D206" s="639" t="s">
        <v>434</v>
      </c>
      <c r="E206" s="682">
        <v>0</v>
      </c>
      <c r="F206" s="682">
        <v>0</v>
      </c>
      <c r="G206" s="634" t="e">
        <f t="shared" si="8"/>
        <v>#DIV/0!</v>
      </c>
    </row>
    <row r="207" spans="1:7" s="654" customFormat="1" ht="18.75" customHeight="1">
      <c r="A207" s="679"/>
      <c r="B207" s="680"/>
      <c r="C207" s="680" t="s">
        <v>989</v>
      </c>
      <c r="D207" s="639" t="s">
        <v>1157</v>
      </c>
      <c r="E207" s="682">
        <v>0</v>
      </c>
      <c r="F207" s="682">
        <v>338</v>
      </c>
      <c r="G207" s="641" t="s">
        <v>1195</v>
      </c>
    </row>
    <row r="208" spans="1:7" s="654" customFormat="1" ht="18.75" customHeight="1" hidden="1">
      <c r="A208" s="679"/>
      <c r="B208" s="680"/>
      <c r="C208" s="680" t="s">
        <v>985</v>
      </c>
      <c r="D208" s="639" t="s">
        <v>1207</v>
      </c>
      <c r="E208" s="682">
        <v>0</v>
      </c>
      <c r="F208" s="682">
        <v>0</v>
      </c>
      <c r="G208" s="641" t="s">
        <v>1195</v>
      </c>
    </row>
    <row r="209" spans="1:7" s="654" customFormat="1" ht="18.75" customHeight="1" hidden="1">
      <c r="A209" s="679"/>
      <c r="B209" s="680"/>
      <c r="C209" s="680" t="s">
        <v>972</v>
      </c>
      <c r="D209" s="655" t="s">
        <v>971</v>
      </c>
      <c r="E209" s="682">
        <v>0</v>
      </c>
      <c r="F209" s="682">
        <v>0</v>
      </c>
      <c r="G209" s="641" t="s">
        <v>1195</v>
      </c>
    </row>
    <row r="210" spans="1:7" s="654" customFormat="1" ht="18.75" customHeight="1">
      <c r="A210" s="679"/>
      <c r="B210" s="680"/>
      <c r="C210" s="680" t="s">
        <v>986</v>
      </c>
      <c r="D210" s="704" t="s">
        <v>1205</v>
      </c>
      <c r="E210" s="682">
        <v>86351</v>
      </c>
      <c r="F210" s="682">
        <v>150772.49</v>
      </c>
      <c r="G210" s="641">
        <f aca="true" t="shared" si="9" ref="G210:G215">F210/E210*100</f>
        <v>174.60421998587162</v>
      </c>
    </row>
    <row r="211" spans="1:7" s="654" customFormat="1" ht="26.25" customHeight="1" hidden="1">
      <c r="A211" s="679"/>
      <c r="B211" s="680"/>
      <c r="C211" s="680" t="s">
        <v>349</v>
      </c>
      <c r="D211" s="729" t="s">
        <v>350</v>
      </c>
      <c r="E211" s="682">
        <v>0</v>
      </c>
      <c r="F211" s="682">
        <v>0</v>
      </c>
      <c r="G211" s="641" t="e">
        <f t="shared" si="9"/>
        <v>#DIV/0!</v>
      </c>
    </row>
    <row r="212" spans="1:7" s="654" customFormat="1" ht="18" customHeight="1">
      <c r="A212" s="679"/>
      <c r="B212" s="680"/>
      <c r="C212" s="681" t="s">
        <v>987</v>
      </c>
      <c r="D212" s="639" t="s">
        <v>1160</v>
      </c>
      <c r="E212" s="682">
        <v>1300000</v>
      </c>
      <c r="F212" s="682">
        <v>475979.24</v>
      </c>
      <c r="G212" s="641">
        <f t="shared" si="9"/>
        <v>36.61378769230769</v>
      </c>
    </row>
    <row r="213" spans="1:7" s="654" customFormat="1" ht="41.25" customHeight="1" hidden="1">
      <c r="A213" s="679"/>
      <c r="B213" s="680"/>
      <c r="C213" s="681" t="s">
        <v>568</v>
      </c>
      <c r="D213" s="639" t="s">
        <v>388</v>
      </c>
      <c r="E213" s="682">
        <v>0</v>
      </c>
      <c r="F213" s="682">
        <v>0</v>
      </c>
      <c r="G213" s="641" t="e">
        <f t="shared" si="9"/>
        <v>#DIV/0!</v>
      </c>
    </row>
    <row r="214" spans="1:7" s="654" customFormat="1" ht="41.25" customHeight="1">
      <c r="A214" s="679"/>
      <c r="B214" s="680"/>
      <c r="C214" s="681" t="s">
        <v>295</v>
      </c>
      <c r="D214" s="655" t="s">
        <v>1735</v>
      </c>
      <c r="E214" s="682">
        <v>0</v>
      </c>
      <c r="F214" s="682">
        <v>596.77</v>
      </c>
      <c r="G214" s="641" t="s">
        <v>1195</v>
      </c>
    </row>
    <row r="215" spans="1:7" s="654" customFormat="1" ht="27" customHeight="1">
      <c r="A215" s="679"/>
      <c r="B215" s="680"/>
      <c r="C215" s="681" t="s">
        <v>541</v>
      </c>
      <c r="D215" s="639" t="s">
        <v>542</v>
      </c>
      <c r="E215" s="682">
        <v>3471000</v>
      </c>
      <c r="F215" s="682">
        <v>3469923</v>
      </c>
      <c r="G215" s="641">
        <f t="shared" si="9"/>
        <v>99.96897147796024</v>
      </c>
    </row>
    <row r="216" spans="1:7" s="654" customFormat="1" ht="40.5" customHeight="1">
      <c r="A216" s="679"/>
      <c r="B216" s="680"/>
      <c r="C216" s="681" t="s">
        <v>1651</v>
      </c>
      <c r="D216" s="639" t="s">
        <v>1644</v>
      </c>
      <c r="E216" s="682">
        <v>0</v>
      </c>
      <c r="F216" s="682">
        <v>20664</v>
      </c>
      <c r="G216" s="641" t="s">
        <v>1195</v>
      </c>
    </row>
    <row r="217" spans="1:7" s="654" customFormat="1" ht="42.75" customHeight="1">
      <c r="A217" s="679"/>
      <c r="B217" s="680"/>
      <c r="C217" s="681" t="s">
        <v>1652</v>
      </c>
      <c r="D217" s="639" t="s">
        <v>1644</v>
      </c>
      <c r="E217" s="682">
        <v>0</v>
      </c>
      <c r="F217" s="682">
        <v>41238.86</v>
      </c>
      <c r="G217" s="641" t="s">
        <v>1195</v>
      </c>
    </row>
    <row r="218" spans="1:7" s="646" customFormat="1" ht="18.75" customHeight="1">
      <c r="A218" s="699" t="s">
        <v>12</v>
      </c>
      <c r="B218" s="700"/>
      <c r="C218" s="700"/>
      <c r="D218" s="702" t="s">
        <v>13</v>
      </c>
      <c r="E218" s="672">
        <f>SUM(E219,E228,E236,E245)</f>
        <v>3341969</v>
      </c>
      <c r="F218" s="672">
        <f>SUM(F219,F228,F236,F245)</f>
        <v>2752312.97</v>
      </c>
      <c r="G218" s="628">
        <f aca="true" t="shared" si="10" ref="G218:G237">F218/E218*100</f>
        <v>82.35602933480234</v>
      </c>
    </row>
    <row r="219" spans="1:7" s="650" customFormat="1" ht="18.75" customHeight="1">
      <c r="A219" s="694"/>
      <c r="B219" s="695" t="s">
        <v>14</v>
      </c>
      <c r="C219" s="695"/>
      <c r="D219" s="703" t="s">
        <v>15</v>
      </c>
      <c r="E219" s="698">
        <f>SUM(E220,E221,E222,E223,E225,E227)</f>
        <v>1301805</v>
      </c>
      <c r="F219" s="698">
        <f>SUM(F220,F221,F222,F223,F225,F227)</f>
        <v>1223571.16</v>
      </c>
      <c r="G219" s="641">
        <f t="shared" si="10"/>
        <v>93.99035646659829</v>
      </c>
    </row>
    <row r="220" spans="1:7" s="686" customFormat="1" ht="27" customHeight="1">
      <c r="A220" s="713"/>
      <c r="B220" s="714"/>
      <c r="C220" s="1770" t="s">
        <v>988</v>
      </c>
      <c r="D220" s="1776" t="s">
        <v>436</v>
      </c>
      <c r="E220" s="1772">
        <v>0</v>
      </c>
      <c r="F220" s="1772">
        <v>287.98</v>
      </c>
      <c r="G220" s="1777" t="s">
        <v>1195</v>
      </c>
    </row>
    <row r="221" spans="1:7" s="686" customFormat="1" ht="27" customHeight="1">
      <c r="A221" s="713"/>
      <c r="B221" s="714"/>
      <c r="C221" s="658" t="s">
        <v>435</v>
      </c>
      <c r="D221" s="685" t="s">
        <v>434</v>
      </c>
      <c r="E221" s="715">
        <v>0</v>
      </c>
      <c r="F221" s="715">
        <v>48961.56</v>
      </c>
      <c r="G221" s="662" t="s">
        <v>1195</v>
      </c>
    </row>
    <row r="222" spans="1:7" s="654" customFormat="1" ht="47.25" customHeight="1" hidden="1">
      <c r="A222" s="679"/>
      <c r="B222" s="680"/>
      <c r="C222" s="681" t="s">
        <v>568</v>
      </c>
      <c r="D222" s="639" t="s">
        <v>388</v>
      </c>
      <c r="E222" s="682">
        <v>0</v>
      </c>
      <c r="F222" s="682">
        <v>0</v>
      </c>
      <c r="G222" s="641" t="e">
        <f t="shared" si="10"/>
        <v>#DIV/0!</v>
      </c>
    </row>
    <row r="223" spans="1:7" s="663" customFormat="1" ht="69.75" customHeight="1">
      <c r="A223" s="730"/>
      <c r="B223" s="731"/>
      <c r="C223" s="1778" t="s">
        <v>345</v>
      </c>
      <c r="D223" s="1779" t="s">
        <v>347</v>
      </c>
      <c r="E223" s="1780">
        <v>0</v>
      </c>
      <c r="F223" s="1780">
        <v>262795.65</v>
      </c>
      <c r="G223" s="1777" t="s">
        <v>1195</v>
      </c>
    </row>
    <row r="224" spans="1:7" s="663" customFormat="1" ht="30" customHeight="1">
      <c r="A224" s="730"/>
      <c r="B224" s="731"/>
      <c r="C224" s="731"/>
      <c r="D224" s="1779" t="s">
        <v>111</v>
      </c>
      <c r="E224" s="733"/>
      <c r="F224" s="733"/>
      <c r="G224" s="662"/>
    </row>
    <row r="225" spans="1:7" s="654" customFormat="1" ht="49.5" customHeight="1">
      <c r="A225" s="679"/>
      <c r="B225" s="680"/>
      <c r="C225" s="681" t="s">
        <v>424</v>
      </c>
      <c r="D225" s="655" t="s">
        <v>807</v>
      </c>
      <c r="E225" s="682">
        <v>1237955</v>
      </c>
      <c r="F225" s="682">
        <v>849472.47</v>
      </c>
      <c r="G225" s="641">
        <f t="shared" si="10"/>
        <v>68.61901038406081</v>
      </c>
    </row>
    <row r="226" spans="1:7" s="654" customFormat="1" ht="75.75" customHeight="1">
      <c r="A226" s="679"/>
      <c r="B226" s="680"/>
      <c r="C226" s="681"/>
      <c r="D226" s="639" t="s">
        <v>808</v>
      </c>
      <c r="E226" s="682"/>
      <c r="F226" s="682"/>
      <c r="G226" s="641"/>
    </row>
    <row r="227" spans="1:7" s="654" customFormat="1" ht="42" customHeight="1">
      <c r="A227" s="679"/>
      <c r="B227" s="680"/>
      <c r="C227" s="681" t="s">
        <v>565</v>
      </c>
      <c r="D227" s="639" t="s">
        <v>603</v>
      </c>
      <c r="E227" s="682">
        <v>63850</v>
      </c>
      <c r="F227" s="682">
        <v>62053.5</v>
      </c>
      <c r="G227" s="641">
        <f t="shared" si="10"/>
        <v>97.18637431480032</v>
      </c>
    </row>
    <row r="228" spans="1:7" s="650" customFormat="1" ht="20.25" customHeight="1">
      <c r="A228" s="694"/>
      <c r="B228" s="695" t="s">
        <v>1755</v>
      </c>
      <c r="C228" s="712"/>
      <c r="D228" s="697" t="s">
        <v>1756</v>
      </c>
      <c r="E228" s="698">
        <f>SUM(E229,E230,E231,E232,E233,E234,E235)</f>
        <v>2024586</v>
      </c>
      <c r="F228" s="698">
        <f>SUM(F229,F230,F231,F232,F233,F234,F235)</f>
        <v>1519868.21</v>
      </c>
      <c r="G228" s="634">
        <f t="shared" si="10"/>
        <v>75.070568007484</v>
      </c>
    </row>
    <row r="229" spans="1:7" s="654" customFormat="1" ht="29.25" customHeight="1" hidden="1">
      <c r="A229" s="679"/>
      <c r="B229" s="680"/>
      <c r="C229" s="681" t="s">
        <v>988</v>
      </c>
      <c r="D229" s="639" t="s">
        <v>436</v>
      </c>
      <c r="E229" s="682">
        <v>0</v>
      </c>
      <c r="F229" s="682">
        <v>0</v>
      </c>
      <c r="G229" s="641" t="e">
        <f t="shared" si="10"/>
        <v>#DIV/0!</v>
      </c>
    </row>
    <row r="230" spans="1:7" s="654" customFormat="1" ht="18.75" customHeight="1">
      <c r="A230" s="679"/>
      <c r="B230" s="680"/>
      <c r="C230" s="681" t="s">
        <v>985</v>
      </c>
      <c r="D230" s="639" t="s">
        <v>1207</v>
      </c>
      <c r="E230" s="682">
        <v>1521576</v>
      </c>
      <c r="F230" s="682">
        <v>1013625.64</v>
      </c>
      <c r="G230" s="641">
        <f t="shared" si="10"/>
        <v>66.61682623805844</v>
      </c>
    </row>
    <row r="231" spans="1:7" s="654" customFormat="1" ht="18.75" customHeight="1">
      <c r="A231" s="679"/>
      <c r="B231" s="680"/>
      <c r="C231" s="680" t="s">
        <v>986</v>
      </c>
      <c r="D231" s="704" t="s">
        <v>1205</v>
      </c>
      <c r="E231" s="682">
        <v>0</v>
      </c>
      <c r="F231" s="682">
        <v>3134.47</v>
      </c>
      <c r="G231" s="641" t="s">
        <v>1195</v>
      </c>
    </row>
    <row r="232" spans="1:7" s="397" customFormat="1" ht="23.25" customHeight="1">
      <c r="A232" s="406"/>
      <c r="B232" s="407"/>
      <c r="C232" s="1770" t="s">
        <v>987</v>
      </c>
      <c r="D232" s="1776" t="s">
        <v>1160</v>
      </c>
      <c r="E232" s="1780">
        <v>0</v>
      </c>
      <c r="F232" s="1780">
        <v>22.5</v>
      </c>
      <c r="G232" s="1777" t="s">
        <v>1195</v>
      </c>
    </row>
    <row r="233" spans="1:7" s="397" customFormat="1" ht="45" customHeight="1">
      <c r="A233" s="406"/>
      <c r="B233" s="407"/>
      <c r="C233" s="658" t="s">
        <v>568</v>
      </c>
      <c r="D233" s="659" t="s">
        <v>388</v>
      </c>
      <c r="E233" s="733">
        <v>503010</v>
      </c>
      <c r="F233" s="733">
        <v>503010</v>
      </c>
      <c r="G233" s="1781">
        <f>F233/E233*100</f>
        <v>100</v>
      </c>
    </row>
    <row r="234" spans="1:7" s="663" customFormat="1" ht="39.75" customHeight="1">
      <c r="A234" s="730"/>
      <c r="B234" s="731"/>
      <c r="C234" s="1770" t="s">
        <v>295</v>
      </c>
      <c r="D234" s="1776" t="s">
        <v>351</v>
      </c>
      <c r="E234" s="1780">
        <v>0</v>
      </c>
      <c r="F234" s="1780">
        <v>75.6</v>
      </c>
      <c r="G234" s="1777" t="s">
        <v>1195</v>
      </c>
    </row>
    <row r="235" spans="1:7" s="397" customFormat="1" ht="39.75" customHeight="1" hidden="1">
      <c r="A235" s="406"/>
      <c r="B235" s="407"/>
      <c r="C235" s="408" t="s">
        <v>1567</v>
      </c>
      <c r="D235" s="383" t="s">
        <v>1571</v>
      </c>
      <c r="E235" s="409">
        <v>0</v>
      </c>
      <c r="F235" s="409">
        <v>0</v>
      </c>
      <c r="G235" s="385" t="e">
        <f t="shared" si="10"/>
        <v>#DIV/0!</v>
      </c>
    </row>
    <row r="236" spans="1:7" s="397" customFormat="1" ht="16.5" customHeight="1">
      <c r="A236" s="414"/>
      <c r="B236" s="415" t="s">
        <v>16</v>
      </c>
      <c r="C236" s="430"/>
      <c r="D236" s="417" t="s">
        <v>17</v>
      </c>
      <c r="E236" s="418">
        <f>SUM(E237,E238,E239,E240,E241)</f>
        <v>0</v>
      </c>
      <c r="F236" s="418">
        <f>SUM(F237,F238,F239,F240,F241)</f>
        <v>380</v>
      </c>
      <c r="G236" s="380" t="s">
        <v>1195</v>
      </c>
    </row>
    <row r="237" spans="1:7" s="397" customFormat="1" ht="29.25" customHeight="1" hidden="1">
      <c r="A237" s="406"/>
      <c r="B237" s="407"/>
      <c r="C237" s="408" t="s">
        <v>435</v>
      </c>
      <c r="D237" s="383" t="s">
        <v>434</v>
      </c>
      <c r="E237" s="409">
        <v>0</v>
      </c>
      <c r="F237" s="409">
        <v>0</v>
      </c>
      <c r="G237" s="385" t="e">
        <f t="shared" si="10"/>
        <v>#DIV/0!</v>
      </c>
    </row>
    <row r="238" spans="1:7" s="397" customFormat="1" ht="18.75" customHeight="1" hidden="1">
      <c r="A238" s="406"/>
      <c r="B238" s="407"/>
      <c r="C238" s="407" t="s">
        <v>989</v>
      </c>
      <c r="D238" s="383" t="s">
        <v>1157</v>
      </c>
      <c r="E238" s="409">
        <v>0</v>
      </c>
      <c r="F238" s="409">
        <v>0</v>
      </c>
      <c r="G238" s="385" t="s">
        <v>1195</v>
      </c>
    </row>
    <row r="239" spans="1:7" s="397" customFormat="1" ht="16.5" customHeight="1" hidden="1">
      <c r="A239" s="406"/>
      <c r="B239" s="407"/>
      <c r="C239" s="408" t="s">
        <v>987</v>
      </c>
      <c r="D239" s="383" t="s">
        <v>1160</v>
      </c>
      <c r="E239" s="409">
        <v>0</v>
      </c>
      <c r="F239" s="409">
        <v>0</v>
      </c>
      <c r="G239" s="433" t="s">
        <v>1195</v>
      </c>
    </row>
    <row r="240" spans="1:7" s="397" customFormat="1" ht="42" customHeight="1">
      <c r="A240" s="406"/>
      <c r="B240" s="407"/>
      <c r="C240" s="408" t="s">
        <v>295</v>
      </c>
      <c r="D240" s="383" t="s">
        <v>351</v>
      </c>
      <c r="E240" s="409">
        <v>0</v>
      </c>
      <c r="F240" s="409">
        <v>380</v>
      </c>
      <c r="G240" s="433" t="s">
        <v>1195</v>
      </c>
    </row>
    <row r="241" spans="1:7" s="397" customFormat="1" ht="82.5" customHeight="1" hidden="1">
      <c r="A241" s="406"/>
      <c r="B241" s="407"/>
      <c r="C241" s="407" t="s">
        <v>1674</v>
      </c>
      <c r="D241" s="383" t="s">
        <v>207</v>
      </c>
      <c r="E241" s="409">
        <v>0</v>
      </c>
      <c r="F241" s="409">
        <v>0</v>
      </c>
      <c r="G241" s="433" t="s">
        <v>1195</v>
      </c>
    </row>
    <row r="242" spans="1:7" s="397" customFormat="1" ht="16.5" customHeight="1" hidden="1">
      <c r="A242" s="414"/>
      <c r="B242" s="415" t="s">
        <v>18</v>
      </c>
      <c r="C242" s="430"/>
      <c r="D242" s="417" t="s">
        <v>325</v>
      </c>
      <c r="E242" s="418">
        <f>SUM(E243,E244)</f>
        <v>0</v>
      </c>
      <c r="F242" s="418">
        <f>SUM(F243,F244)</f>
        <v>0</v>
      </c>
      <c r="G242" s="432" t="s">
        <v>1195</v>
      </c>
    </row>
    <row r="243" spans="1:7" s="397" customFormat="1" ht="18.75" customHeight="1" hidden="1">
      <c r="A243" s="406"/>
      <c r="B243" s="407"/>
      <c r="C243" s="407" t="s">
        <v>989</v>
      </c>
      <c r="D243" s="383" t="s">
        <v>1157</v>
      </c>
      <c r="E243" s="409">
        <v>0</v>
      </c>
      <c r="F243" s="409">
        <v>0</v>
      </c>
      <c r="G243" s="432" t="s">
        <v>1195</v>
      </c>
    </row>
    <row r="244" spans="1:7" s="397" customFormat="1" ht="16.5" customHeight="1" hidden="1">
      <c r="A244" s="406"/>
      <c r="B244" s="407"/>
      <c r="C244" s="408" t="s">
        <v>987</v>
      </c>
      <c r="D244" s="383" t="s">
        <v>1160</v>
      </c>
      <c r="E244" s="409">
        <v>0</v>
      </c>
      <c r="F244" s="409">
        <v>0</v>
      </c>
      <c r="G244" s="433" t="s">
        <v>1195</v>
      </c>
    </row>
    <row r="245" spans="1:7" s="654" customFormat="1" ht="17.25" customHeight="1">
      <c r="A245" s="694"/>
      <c r="B245" s="695" t="s">
        <v>1769</v>
      </c>
      <c r="C245" s="712"/>
      <c r="D245" s="697" t="s">
        <v>215</v>
      </c>
      <c r="E245" s="698">
        <f>SUM(E246,E247,E248,E249,E250,E251)</f>
        <v>15578</v>
      </c>
      <c r="F245" s="698">
        <f>SUM(F246,F247,F248,F249,F250,F251)</f>
        <v>8493.6</v>
      </c>
      <c r="G245" s="641">
        <f>F245/E245*100</f>
        <v>54.52304532032354</v>
      </c>
    </row>
    <row r="246" spans="1:7" s="654" customFormat="1" ht="27.75" customHeight="1">
      <c r="A246" s="679"/>
      <c r="B246" s="680"/>
      <c r="C246" s="681" t="s">
        <v>988</v>
      </c>
      <c r="D246" s="639" t="s">
        <v>436</v>
      </c>
      <c r="E246" s="682">
        <v>0</v>
      </c>
      <c r="F246" s="682">
        <v>500</v>
      </c>
      <c r="G246" s="721" t="s">
        <v>1195</v>
      </c>
    </row>
    <row r="247" spans="1:7" s="654" customFormat="1" ht="17.25" customHeight="1">
      <c r="A247" s="679"/>
      <c r="B247" s="680"/>
      <c r="C247" s="681" t="s">
        <v>989</v>
      </c>
      <c r="D247" s="639" t="s">
        <v>1157</v>
      </c>
      <c r="E247" s="682">
        <v>0</v>
      </c>
      <c r="F247" s="682">
        <v>50</v>
      </c>
      <c r="G247" s="721" t="s">
        <v>1195</v>
      </c>
    </row>
    <row r="248" spans="1:7" s="654" customFormat="1" ht="17.25" customHeight="1">
      <c r="A248" s="679"/>
      <c r="B248" s="680"/>
      <c r="C248" s="681" t="s">
        <v>986</v>
      </c>
      <c r="D248" s="704" t="s">
        <v>1205</v>
      </c>
      <c r="E248" s="682">
        <v>0</v>
      </c>
      <c r="F248" s="682">
        <v>17.6</v>
      </c>
      <c r="G248" s="721" t="s">
        <v>1195</v>
      </c>
    </row>
    <row r="249" spans="1:7" s="397" customFormat="1" ht="56.25" customHeight="1" hidden="1">
      <c r="A249" s="406"/>
      <c r="B249" s="407"/>
      <c r="C249" s="408" t="s">
        <v>583</v>
      </c>
      <c r="D249" s="383" t="s">
        <v>382</v>
      </c>
      <c r="E249" s="409">
        <v>0</v>
      </c>
      <c r="F249" s="409">
        <v>0</v>
      </c>
      <c r="G249" s="433" t="e">
        <f>F249/E249*100</f>
        <v>#DIV/0!</v>
      </c>
    </row>
    <row r="250" spans="1:7" s="654" customFormat="1" ht="58.5" customHeight="1">
      <c r="A250" s="679"/>
      <c r="B250" s="680"/>
      <c r="C250" s="681" t="s">
        <v>567</v>
      </c>
      <c r="D250" s="639" t="s">
        <v>395</v>
      </c>
      <c r="E250" s="682">
        <v>15578</v>
      </c>
      <c r="F250" s="682">
        <v>7926</v>
      </c>
      <c r="G250" s="721">
        <f>F250/E250*100</f>
        <v>50.87944537167801</v>
      </c>
    </row>
    <row r="251" spans="1:7" s="654" customFormat="1" ht="41.25" customHeight="1" hidden="1">
      <c r="A251" s="679"/>
      <c r="B251" s="680"/>
      <c r="C251" s="681" t="s">
        <v>568</v>
      </c>
      <c r="D251" s="639" t="s">
        <v>388</v>
      </c>
      <c r="E251" s="682">
        <v>0</v>
      </c>
      <c r="F251" s="682">
        <v>0</v>
      </c>
      <c r="G251" s="721" t="e">
        <f>F251/E251*100</f>
        <v>#DIV/0!</v>
      </c>
    </row>
    <row r="252" spans="1:7" s="397" customFormat="1" ht="55.5" customHeight="1" hidden="1">
      <c r="A252" s="406"/>
      <c r="B252" s="407"/>
      <c r="C252" s="408" t="s">
        <v>1615</v>
      </c>
      <c r="D252" s="398" t="s">
        <v>1193</v>
      </c>
      <c r="E252" s="409">
        <v>0</v>
      </c>
      <c r="F252" s="409">
        <v>0</v>
      </c>
      <c r="G252" s="433" t="s">
        <v>1195</v>
      </c>
    </row>
    <row r="253" spans="1:7" s="397" customFormat="1" ht="44.25" customHeight="1" hidden="1">
      <c r="A253" s="406"/>
      <c r="B253" s="407"/>
      <c r="C253" s="408" t="s">
        <v>565</v>
      </c>
      <c r="D253" s="383" t="s">
        <v>603</v>
      </c>
      <c r="E253" s="409">
        <v>0</v>
      </c>
      <c r="F253" s="409">
        <v>0</v>
      </c>
      <c r="G253" s="433" t="e">
        <f>F253/E253*100</f>
        <v>#DIV/0!</v>
      </c>
    </row>
    <row r="254" spans="1:7" s="650" customFormat="1" ht="19.5" customHeight="1">
      <c r="A254" s="699" t="s">
        <v>21</v>
      </c>
      <c r="B254" s="700"/>
      <c r="C254" s="701"/>
      <c r="D254" s="702" t="s">
        <v>22</v>
      </c>
      <c r="E254" s="672">
        <f>SUM(E255,E259,E263,E269)</f>
        <v>7000</v>
      </c>
      <c r="F254" s="672">
        <f>SUM(F255,F259,F263,F269)</f>
        <v>7832.95</v>
      </c>
      <c r="G254" s="628">
        <f>F254/E254*100</f>
        <v>111.89928571428571</v>
      </c>
    </row>
    <row r="255" spans="1:7" s="650" customFormat="1" ht="18" customHeight="1" hidden="1">
      <c r="A255" s="694"/>
      <c r="B255" s="705" t="s">
        <v>1776</v>
      </c>
      <c r="C255" s="705"/>
      <c r="D255" s="734" t="s">
        <v>1713</v>
      </c>
      <c r="E255" s="707">
        <f>SUM(E256,E257,E258)</f>
        <v>0</v>
      </c>
      <c r="F255" s="707">
        <f>SUM(F256,F257,F258)</f>
        <v>0</v>
      </c>
      <c r="G255" s="634" t="s">
        <v>1195</v>
      </c>
    </row>
    <row r="256" spans="1:7" s="654" customFormat="1" ht="63.75" customHeight="1" hidden="1">
      <c r="A256" s="679"/>
      <c r="B256" s="724"/>
      <c r="C256" s="724" t="s">
        <v>543</v>
      </c>
      <c r="D256" s="735" t="s">
        <v>544</v>
      </c>
      <c r="E256" s="736">
        <v>0</v>
      </c>
      <c r="F256" s="736">
        <v>0</v>
      </c>
      <c r="G256" s="641" t="s">
        <v>1195</v>
      </c>
    </row>
    <row r="257" spans="1:7" s="650" customFormat="1" ht="20.25" customHeight="1" hidden="1">
      <c r="A257" s="679"/>
      <c r="B257" s="724"/>
      <c r="C257" s="724" t="s">
        <v>987</v>
      </c>
      <c r="D257" s="704" t="s">
        <v>1160</v>
      </c>
      <c r="E257" s="736">
        <v>0</v>
      </c>
      <c r="F257" s="736">
        <v>0</v>
      </c>
      <c r="G257" s="641" t="s">
        <v>1195</v>
      </c>
    </row>
    <row r="258" spans="1:7" s="650" customFormat="1" ht="64.5" customHeight="1" hidden="1">
      <c r="A258" s="679"/>
      <c r="B258" s="724"/>
      <c r="C258" s="724" t="s">
        <v>1567</v>
      </c>
      <c r="D258" s="655" t="s">
        <v>822</v>
      </c>
      <c r="E258" s="736">
        <v>0</v>
      </c>
      <c r="F258" s="736">
        <v>0</v>
      </c>
      <c r="G258" s="641" t="s">
        <v>1195</v>
      </c>
    </row>
    <row r="259" spans="1:7" s="650" customFormat="1" ht="19.5" customHeight="1" hidden="1">
      <c r="A259" s="694"/>
      <c r="B259" s="705" t="s">
        <v>762</v>
      </c>
      <c r="C259" s="737"/>
      <c r="D259" s="706" t="s">
        <v>763</v>
      </c>
      <c r="E259" s="707">
        <f>SUM(E260,E261,E262)</f>
        <v>0</v>
      </c>
      <c r="F259" s="707">
        <f>SUM(F260,F261,F262)</f>
        <v>0</v>
      </c>
      <c r="G259" s="634" t="s">
        <v>1195</v>
      </c>
    </row>
    <row r="260" spans="1:7" s="654" customFormat="1" ht="65.25" customHeight="1" hidden="1">
      <c r="A260" s="679"/>
      <c r="B260" s="724"/>
      <c r="C260" s="724" t="s">
        <v>543</v>
      </c>
      <c r="D260" s="735" t="s">
        <v>544</v>
      </c>
      <c r="E260" s="736">
        <v>0</v>
      </c>
      <c r="F260" s="736">
        <v>0</v>
      </c>
      <c r="G260" s="634" t="s">
        <v>1195</v>
      </c>
    </row>
    <row r="261" spans="1:7" s="650" customFormat="1" ht="19.5" customHeight="1" hidden="1">
      <c r="A261" s="694"/>
      <c r="B261" s="705"/>
      <c r="C261" s="680" t="s">
        <v>987</v>
      </c>
      <c r="D261" s="704" t="s">
        <v>1160</v>
      </c>
      <c r="E261" s="736">
        <v>0</v>
      </c>
      <c r="F261" s="736">
        <v>0</v>
      </c>
      <c r="G261" s="634" t="s">
        <v>1195</v>
      </c>
    </row>
    <row r="262" spans="1:7" s="650" customFormat="1" ht="67.5" customHeight="1" hidden="1">
      <c r="A262" s="694"/>
      <c r="B262" s="705"/>
      <c r="C262" s="724" t="s">
        <v>1567</v>
      </c>
      <c r="D262" s="655" t="s">
        <v>822</v>
      </c>
      <c r="E262" s="736">
        <v>0</v>
      </c>
      <c r="F262" s="736">
        <v>0</v>
      </c>
      <c r="G262" s="634" t="s">
        <v>1195</v>
      </c>
    </row>
    <row r="263" spans="1:7" s="650" customFormat="1" ht="19.5" customHeight="1">
      <c r="A263" s="694"/>
      <c r="B263" s="705" t="s">
        <v>23</v>
      </c>
      <c r="C263" s="737"/>
      <c r="D263" s="706" t="s">
        <v>24</v>
      </c>
      <c r="E263" s="707">
        <f>SUM(E264,E265,E266,E267)</f>
        <v>0</v>
      </c>
      <c r="F263" s="707">
        <f>SUM(F264,F265,F266,F267)</f>
        <v>1412.49</v>
      </c>
      <c r="G263" s="634" t="s">
        <v>1195</v>
      </c>
    </row>
    <row r="264" spans="1:7" s="654" customFormat="1" ht="65.25" customHeight="1">
      <c r="A264" s="679"/>
      <c r="B264" s="724"/>
      <c r="C264" s="680" t="s">
        <v>543</v>
      </c>
      <c r="D264" s="735" t="s">
        <v>544</v>
      </c>
      <c r="E264" s="736">
        <v>0</v>
      </c>
      <c r="F264" s="736">
        <v>9</v>
      </c>
      <c r="G264" s="641" t="s">
        <v>1195</v>
      </c>
    </row>
    <row r="265" spans="1:7" s="650" customFormat="1" ht="19.5" customHeight="1">
      <c r="A265" s="694"/>
      <c r="B265" s="705"/>
      <c r="C265" s="1782" t="s">
        <v>987</v>
      </c>
      <c r="D265" s="1783" t="s">
        <v>1160</v>
      </c>
      <c r="E265" s="1784">
        <v>0</v>
      </c>
      <c r="F265" s="1784">
        <v>1187.22</v>
      </c>
      <c r="G265" s="1785" t="s">
        <v>1195</v>
      </c>
    </row>
    <row r="266" spans="1:7" s="650" customFormat="1" ht="65.25" customHeight="1">
      <c r="A266" s="694"/>
      <c r="B266" s="738"/>
      <c r="C266" s="709" t="s">
        <v>1567</v>
      </c>
      <c r="D266" s="639" t="s">
        <v>822</v>
      </c>
      <c r="E266" s="739">
        <v>0</v>
      </c>
      <c r="F266" s="711">
        <v>216.27</v>
      </c>
      <c r="G266" s="665" t="s">
        <v>1195</v>
      </c>
    </row>
    <row r="267" spans="1:7" ht="53.25" customHeight="1" hidden="1">
      <c r="A267" s="414"/>
      <c r="B267" s="439"/>
      <c r="C267" s="428" t="s">
        <v>424</v>
      </c>
      <c r="D267" s="398" t="s">
        <v>807</v>
      </c>
      <c r="E267" s="440">
        <v>0</v>
      </c>
      <c r="F267" s="429">
        <v>0</v>
      </c>
      <c r="G267" s="366" t="s">
        <v>1195</v>
      </c>
    </row>
    <row r="268" spans="1:7" ht="75.75" customHeight="1" hidden="1">
      <c r="A268" s="414"/>
      <c r="B268" s="439"/>
      <c r="C268" s="428"/>
      <c r="D268" s="383" t="s">
        <v>808</v>
      </c>
      <c r="E268" s="440"/>
      <c r="F268" s="429"/>
      <c r="G268" s="366"/>
    </row>
    <row r="269" spans="1:7" s="650" customFormat="1" ht="19.5" customHeight="1">
      <c r="A269" s="694"/>
      <c r="B269" s="740" t="s">
        <v>764</v>
      </c>
      <c r="C269" s="741"/>
      <c r="D269" s="742" t="s">
        <v>215</v>
      </c>
      <c r="E269" s="675">
        <f>SUM(E270,E271)</f>
        <v>7000</v>
      </c>
      <c r="F269" s="675">
        <f>SUM(F270,F271)</f>
        <v>6420.46</v>
      </c>
      <c r="G269" s="665">
        <f>F269/E269*100</f>
        <v>91.72085714285714</v>
      </c>
    </row>
    <row r="270" spans="1:7" s="654" customFormat="1" ht="54" customHeight="1">
      <c r="A270" s="679"/>
      <c r="B270" s="680"/>
      <c r="C270" s="638">
        <v>2010</v>
      </c>
      <c r="D270" s="639" t="s">
        <v>382</v>
      </c>
      <c r="E270" s="711">
        <v>7000</v>
      </c>
      <c r="F270" s="711">
        <v>6420.46</v>
      </c>
      <c r="G270" s="676">
        <f>F270/E270*100</f>
        <v>91.72085714285714</v>
      </c>
    </row>
    <row r="271" spans="1:7" s="397" customFormat="1" ht="55.5" customHeight="1" hidden="1">
      <c r="A271" s="406"/>
      <c r="B271" s="407"/>
      <c r="C271" s="382">
        <v>2020</v>
      </c>
      <c r="D271" s="383" t="s">
        <v>395</v>
      </c>
      <c r="E271" s="409">
        <v>0</v>
      </c>
      <c r="F271" s="409"/>
      <c r="G271" s="385" t="e">
        <f>F271/E271*100</f>
        <v>#DIV/0!</v>
      </c>
    </row>
    <row r="272" spans="1:7" s="646" customFormat="1" ht="21.75" customHeight="1">
      <c r="A272" s="699" t="s">
        <v>574</v>
      </c>
      <c r="B272" s="700"/>
      <c r="C272" s="717"/>
      <c r="D272" s="670" t="s">
        <v>585</v>
      </c>
      <c r="E272" s="672">
        <f>SUM(E273,E278,E280,E284,E286,E289,E291,E299,E304,E311,E314,E319,E321,E325,E327)</f>
        <v>9173616</v>
      </c>
      <c r="F272" s="672">
        <f>SUM(F273,F278,F280,F284,F286,F289,F291,F299,F304,F311,F314,F319,F321,F325,F327)</f>
        <v>8901792.38</v>
      </c>
      <c r="G272" s="628">
        <f>F272/E272*100</f>
        <v>97.03689777291747</v>
      </c>
    </row>
    <row r="273" spans="1:7" s="646" customFormat="1" ht="21.75" customHeight="1">
      <c r="A273" s="694"/>
      <c r="B273" s="695" t="s">
        <v>575</v>
      </c>
      <c r="C273" s="696"/>
      <c r="D273" s="734" t="s">
        <v>229</v>
      </c>
      <c r="E273" s="698">
        <f>SUM(E274,E275,E276,E277)</f>
        <v>0</v>
      </c>
      <c r="F273" s="698">
        <f>SUM(F274,F275,F276,F277)</f>
        <v>15550.78</v>
      </c>
      <c r="G273" s="634" t="s">
        <v>1195</v>
      </c>
    </row>
    <row r="274" spans="1:7" s="743" customFormat="1" ht="27.75" customHeight="1" hidden="1">
      <c r="A274" s="679"/>
      <c r="B274" s="680"/>
      <c r="C274" s="681" t="s">
        <v>988</v>
      </c>
      <c r="D274" s="655" t="s">
        <v>436</v>
      </c>
      <c r="E274" s="736">
        <v>0</v>
      </c>
      <c r="F274" s="682">
        <v>0</v>
      </c>
      <c r="G274" s="641" t="s">
        <v>1195</v>
      </c>
    </row>
    <row r="275" spans="1:7" s="654" customFormat="1" ht="18.75" customHeight="1">
      <c r="A275" s="679"/>
      <c r="B275" s="680"/>
      <c r="C275" s="680" t="s">
        <v>986</v>
      </c>
      <c r="D275" s="704" t="s">
        <v>1205</v>
      </c>
      <c r="E275" s="682">
        <v>0</v>
      </c>
      <c r="F275" s="682">
        <v>0.76</v>
      </c>
      <c r="G275" s="641" t="s">
        <v>1195</v>
      </c>
    </row>
    <row r="276" spans="1:7" s="654" customFormat="1" ht="30.75" customHeight="1">
      <c r="A276" s="679"/>
      <c r="B276" s="680"/>
      <c r="C276" s="731" t="s">
        <v>349</v>
      </c>
      <c r="D276" s="744" t="s">
        <v>350</v>
      </c>
      <c r="E276" s="733">
        <v>0</v>
      </c>
      <c r="F276" s="733">
        <v>10000</v>
      </c>
      <c r="G276" s="662" t="s">
        <v>1195</v>
      </c>
    </row>
    <row r="277" spans="1:8" s="389" customFormat="1" ht="21.75" customHeight="1">
      <c r="A277" s="406"/>
      <c r="B277" s="407"/>
      <c r="C277" s="408" t="s">
        <v>987</v>
      </c>
      <c r="D277" s="436" t="s">
        <v>1160</v>
      </c>
      <c r="E277" s="437">
        <v>0</v>
      </c>
      <c r="F277" s="409">
        <v>5550.02</v>
      </c>
      <c r="G277" s="385" t="s">
        <v>1195</v>
      </c>
      <c r="H277" s="389" t="s">
        <v>739</v>
      </c>
    </row>
    <row r="278" spans="1:7" s="646" customFormat="1" ht="21.75" customHeight="1">
      <c r="A278" s="694"/>
      <c r="B278" s="695" t="s">
        <v>767</v>
      </c>
      <c r="C278" s="696"/>
      <c r="D278" s="734" t="s">
        <v>768</v>
      </c>
      <c r="E278" s="698">
        <f>SUM(E279)</f>
        <v>0</v>
      </c>
      <c r="F278" s="698">
        <f>SUM(F279)</f>
        <v>70257.87</v>
      </c>
      <c r="G278" s="634" t="s">
        <v>1195</v>
      </c>
    </row>
    <row r="279" spans="1:7" s="646" customFormat="1" ht="21.75" customHeight="1">
      <c r="A279" s="679"/>
      <c r="B279" s="680"/>
      <c r="C279" s="681" t="s">
        <v>987</v>
      </c>
      <c r="D279" s="735" t="s">
        <v>1160</v>
      </c>
      <c r="E279" s="736">
        <v>0</v>
      </c>
      <c r="F279" s="682">
        <v>70257.87</v>
      </c>
      <c r="G279" s="641" t="s">
        <v>1195</v>
      </c>
    </row>
    <row r="280" spans="1:7" s="650" customFormat="1" ht="21.75" customHeight="1">
      <c r="A280" s="694"/>
      <c r="B280" s="695" t="s">
        <v>586</v>
      </c>
      <c r="C280" s="696"/>
      <c r="D280" s="734" t="s">
        <v>387</v>
      </c>
      <c r="E280" s="698">
        <f>SUM(E281,E282,E283)</f>
        <v>221740</v>
      </c>
      <c r="F280" s="698">
        <f>SUM(F281,F282,F283)</f>
        <v>208287.05</v>
      </c>
      <c r="G280" s="634">
        <f>F280/E280*100</f>
        <v>93.93300712546224</v>
      </c>
    </row>
    <row r="281" spans="1:7" s="650" customFormat="1" ht="21" customHeight="1">
      <c r="A281" s="694"/>
      <c r="B281" s="695"/>
      <c r="C281" s="681" t="s">
        <v>985</v>
      </c>
      <c r="D281" s="639" t="s">
        <v>1207</v>
      </c>
      <c r="E281" s="736">
        <v>23000</v>
      </c>
      <c r="F281" s="682">
        <v>17907.05</v>
      </c>
      <c r="G281" s="641">
        <f>F281/E281*100</f>
        <v>77.85673913043479</v>
      </c>
    </row>
    <row r="282" spans="1:7" s="646" customFormat="1" ht="21.75" customHeight="1" hidden="1">
      <c r="A282" s="679"/>
      <c r="B282" s="680"/>
      <c r="C282" s="681" t="s">
        <v>987</v>
      </c>
      <c r="D282" s="735" t="s">
        <v>1160</v>
      </c>
      <c r="E282" s="736">
        <v>0</v>
      </c>
      <c r="F282" s="682">
        <v>0</v>
      </c>
      <c r="G282" s="641" t="s">
        <v>1195</v>
      </c>
    </row>
    <row r="283" spans="1:7" s="654" customFormat="1" ht="54.75" customHeight="1">
      <c r="A283" s="679"/>
      <c r="B283" s="680"/>
      <c r="C283" s="638">
        <v>2010</v>
      </c>
      <c r="D283" s="639" t="s">
        <v>382</v>
      </c>
      <c r="E283" s="736">
        <v>198740</v>
      </c>
      <c r="F283" s="682">
        <v>190380</v>
      </c>
      <c r="G283" s="641">
        <f>F283/E283*100</f>
        <v>95.79349904397706</v>
      </c>
    </row>
    <row r="284" spans="1:7" s="646" customFormat="1" ht="21.75" customHeight="1" hidden="1">
      <c r="A284" s="694"/>
      <c r="B284" s="695" t="s">
        <v>769</v>
      </c>
      <c r="C284" s="696"/>
      <c r="D284" s="734" t="s">
        <v>770</v>
      </c>
      <c r="E284" s="698">
        <f>SUM(E285,E288)</f>
        <v>0</v>
      </c>
      <c r="F284" s="698">
        <f>SUM(F285,F288)</f>
        <v>0</v>
      </c>
      <c r="G284" s="634" t="s">
        <v>1195</v>
      </c>
    </row>
    <row r="285" spans="1:8" s="389" customFormat="1" ht="21.75" customHeight="1" hidden="1">
      <c r="A285" s="406"/>
      <c r="B285" s="407"/>
      <c r="C285" s="408" t="s">
        <v>987</v>
      </c>
      <c r="D285" s="436" t="s">
        <v>1160</v>
      </c>
      <c r="E285" s="437">
        <v>0</v>
      </c>
      <c r="F285" s="409">
        <v>0</v>
      </c>
      <c r="G285" s="385" t="s">
        <v>1195</v>
      </c>
      <c r="H285" s="389" t="s">
        <v>739</v>
      </c>
    </row>
    <row r="286" spans="1:7" s="389" customFormat="1" ht="30.75" customHeight="1">
      <c r="A286" s="406"/>
      <c r="B286" s="714" t="s">
        <v>550</v>
      </c>
      <c r="C286" s="1786"/>
      <c r="D286" s="1787" t="s">
        <v>1594</v>
      </c>
      <c r="E286" s="715">
        <f>SUM(E287)</f>
        <v>10000</v>
      </c>
      <c r="F286" s="715">
        <f>SUM(F287)</f>
        <v>0</v>
      </c>
      <c r="G286" s="641">
        <f>F286/E286*100</f>
        <v>0</v>
      </c>
    </row>
    <row r="287" spans="1:7" s="389" customFormat="1" ht="66.75" customHeight="1">
      <c r="A287" s="406"/>
      <c r="B287" s="731"/>
      <c r="C287" s="658" t="s">
        <v>1567</v>
      </c>
      <c r="D287" s="659" t="s">
        <v>822</v>
      </c>
      <c r="E287" s="745">
        <v>10000</v>
      </c>
      <c r="F287" s="733">
        <v>0</v>
      </c>
      <c r="G287" s="641">
        <f>F287/E287*100</f>
        <v>0</v>
      </c>
    </row>
    <row r="288" spans="1:7" s="746" customFormat="1" ht="51" customHeight="1" hidden="1">
      <c r="A288" s="730"/>
      <c r="B288" s="731"/>
      <c r="C288" s="1770" t="s">
        <v>1108</v>
      </c>
      <c r="D288" s="1788" t="s">
        <v>202</v>
      </c>
      <c r="E288" s="1789">
        <v>0</v>
      </c>
      <c r="F288" s="1789">
        <v>0</v>
      </c>
      <c r="G288" s="662" t="s">
        <v>1195</v>
      </c>
    </row>
    <row r="289" spans="1:7" s="748" customFormat="1" ht="20.25" customHeight="1">
      <c r="A289" s="747"/>
      <c r="B289" s="1793" t="s">
        <v>203</v>
      </c>
      <c r="C289" s="1790"/>
      <c r="D289" s="1791" t="s">
        <v>204</v>
      </c>
      <c r="E289" s="1792">
        <f>SUM(E290)</f>
        <v>32436</v>
      </c>
      <c r="F289" s="1792">
        <f>SUM(F290)</f>
        <v>32436</v>
      </c>
      <c r="G289" s="634">
        <f aca="true" t="shared" si="11" ref="G289:G304">F289/E289*100</f>
        <v>100</v>
      </c>
    </row>
    <row r="290" spans="1:7" s="746" customFormat="1" ht="42" customHeight="1">
      <c r="A290" s="730"/>
      <c r="B290" s="731"/>
      <c r="C290" s="1770" t="s">
        <v>568</v>
      </c>
      <c r="D290" s="1788" t="s">
        <v>388</v>
      </c>
      <c r="E290" s="1789">
        <v>32436</v>
      </c>
      <c r="F290" s="1789">
        <v>32436</v>
      </c>
      <c r="G290" s="634">
        <f t="shared" si="11"/>
        <v>100</v>
      </c>
    </row>
    <row r="291" spans="1:7" s="650" customFormat="1" ht="43.5" customHeight="1">
      <c r="A291" s="694"/>
      <c r="B291" s="695" t="s">
        <v>576</v>
      </c>
      <c r="C291" s="696"/>
      <c r="D291" s="103" t="s">
        <v>1253</v>
      </c>
      <c r="E291" s="707">
        <f>SUM(E292,E293,E294,E295,E296,E297,E298)</f>
        <v>5987844</v>
      </c>
      <c r="F291" s="707">
        <f>SUM(F292,F293,F294,F295,F296,F297,F298)</f>
        <v>5700923.36</v>
      </c>
      <c r="G291" s="634">
        <f t="shared" si="11"/>
        <v>95.20828131126997</v>
      </c>
    </row>
    <row r="292" spans="1:7" s="650" customFormat="1" ht="18" customHeight="1">
      <c r="A292" s="694"/>
      <c r="B292" s="695"/>
      <c r="C292" s="680" t="s">
        <v>989</v>
      </c>
      <c r="D292" s="639" t="s">
        <v>1157</v>
      </c>
      <c r="E292" s="736">
        <v>0</v>
      </c>
      <c r="F292" s="736">
        <v>699.93</v>
      </c>
      <c r="G292" s="641" t="s">
        <v>1195</v>
      </c>
    </row>
    <row r="293" spans="1:7" s="654" customFormat="1" ht="18.75" customHeight="1">
      <c r="A293" s="679"/>
      <c r="B293" s="680"/>
      <c r="C293" s="680" t="s">
        <v>986</v>
      </c>
      <c r="D293" s="704" t="s">
        <v>1205</v>
      </c>
      <c r="E293" s="682">
        <v>30000</v>
      </c>
      <c r="F293" s="682">
        <v>16585.66</v>
      </c>
      <c r="G293" s="641">
        <f t="shared" si="11"/>
        <v>55.28553333333333</v>
      </c>
    </row>
    <row r="294" spans="1:7" s="650" customFormat="1" ht="18" customHeight="1" hidden="1">
      <c r="A294" s="694"/>
      <c r="B294" s="695"/>
      <c r="C294" s="681" t="s">
        <v>987</v>
      </c>
      <c r="D294" s="639" t="s">
        <v>1160</v>
      </c>
      <c r="E294" s="682">
        <v>0</v>
      </c>
      <c r="F294" s="682">
        <v>0</v>
      </c>
      <c r="G294" s="641" t="e">
        <f t="shared" si="11"/>
        <v>#DIV/0!</v>
      </c>
    </row>
    <row r="295" spans="1:7" s="650" customFormat="1" ht="29.25" customHeight="1" hidden="1">
      <c r="A295" s="694"/>
      <c r="B295" s="695"/>
      <c r="C295" s="681" t="s">
        <v>545</v>
      </c>
      <c r="D295" s="639" t="s">
        <v>546</v>
      </c>
      <c r="E295" s="682">
        <v>0</v>
      </c>
      <c r="F295" s="682">
        <v>0</v>
      </c>
      <c r="G295" s="641" t="e">
        <f t="shared" si="11"/>
        <v>#DIV/0!</v>
      </c>
    </row>
    <row r="296" spans="1:7" s="749" customFormat="1" ht="58.5" customHeight="1">
      <c r="A296" s="679"/>
      <c r="B296" s="680"/>
      <c r="C296" s="638">
        <v>2010</v>
      </c>
      <c r="D296" s="639" t="s">
        <v>382</v>
      </c>
      <c r="E296" s="682">
        <v>5765000</v>
      </c>
      <c r="F296" s="682">
        <v>5585215.54</v>
      </c>
      <c r="G296" s="641">
        <f t="shared" si="11"/>
        <v>96.88144908933218</v>
      </c>
    </row>
    <row r="297" spans="1:7" s="749" customFormat="1" ht="58.5" customHeight="1">
      <c r="A297" s="679"/>
      <c r="B297" s="680"/>
      <c r="C297" s="638">
        <v>2360</v>
      </c>
      <c r="D297" s="639" t="s">
        <v>591</v>
      </c>
      <c r="E297" s="682">
        <v>62844</v>
      </c>
      <c r="F297" s="682">
        <v>26722.03</v>
      </c>
      <c r="G297" s="641">
        <f t="shared" si="11"/>
        <v>42.521211253262045</v>
      </c>
    </row>
    <row r="298" spans="1:7" s="749" customFormat="1" ht="68.25" customHeight="1">
      <c r="A298" s="679"/>
      <c r="B298" s="680"/>
      <c r="C298" s="638">
        <v>2910</v>
      </c>
      <c r="D298" s="639" t="s">
        <v>822</v>
      </c>
      <c r="E298" s="682">
        <v>130000</v>
      </c>
      <c r="F298" s="682">
        <v>71700.2</v>
      </c>
      <c r="G298" s="641">
        <f t="shared" si="11"/>
        <v>55.154</v>
      </c>
    </row>
    <row r="299" spans="1:7" s="650" customFormat="1" ht="69" customHeight="1">
      <c r="A299" s="694"/>
      <c r="B299" s="695" t="s">
        <v>577</v>
      </c>
      <c r="C299" s="696"/>
      <c r="D299" s="632" t="s">
        <v>1402</v>
      </c>
      <c r="E299" s="698">
        <f>SUM(E300,E301,E302,E303)</f>
        <v>140500</v>
      </c>
      <c r="F299" s="698">
        <f>SUM(F300,F301,F302,F303)</f>
        <v>131112.16</v>
      </c>
      <c r="G299" s="634">
        <f t="shared" si="11"/>
        <v>93.31826334519573</v>
      </c>
    </row>
    <row r="300" spans="1:7" s="654" customFormat="1" ht="21" customHeight="1" hidden="1">
      <c r="A300" s="679"/>
      <c r="B300" s="680"/>
      <c r="C300" s="681" t="s">
        <v>987</v>
      </c>
      <c r="D300" s="639" t="s">
        <v>1160</v>
      </c>
      <c r="E300" s="682">
        <v>0</v>
      </c>
      <c r="F300" s="682">
        <v>0</v>
      </c>
      <c r="G300" s="641" t="s">
        <v>1195</v>
      </c>
    </row>
    <row r="301" spans="1:7" s="654" customFormat="1" ht="56.25" customHeight="1">
      <c r="A301" s="679"/>
      <c r="B301" s="680"/>
      <c r="C301" s="638">
        <v>2010</v>
      </c>
      <c r="D301" s="639" t="s">
        <v>382</v>
      </c>
      <c r="E301" s="682">
        <v>49500</v>
      </c>
      <c r="F301" s="682">
        <v>48126.85</v>
      </c>
      <c r="G301" s="641">
        <f t="shared" si="11"/>
        <v>97.2259595959596</v>
      </c>
    </row>
    <row r="302" spans="1:7" s="654" customFormat="1" ht="40.5" customHeight="1">
      <c r="A302" s="679"/>
      <c r="B302" s="680"/>
      <c r="C302" s="638">
        <v>2030</v>
      </c>
      <c r="D302" s="639" t="s">
        <v>388</v>
      </c>
      <c r="E302" s="682">
        <v>86000</v>
      </c>
      <c r="F302" s="682">
        <v>80246.27</v>
      </c>
      <c r="G302" s="641">
        <f t="shared" si="11"/>
        <v>93.30961627906977</v>
      </c>
    </row>
    <row r="303" spans="1:7" s="749" customFormat="1" ht="65.25" customHeight="1">
      <c r="A303" s="679"/>
      <c r="B303" s="680"/>
      <c r="C303" s="638">
        <v>2910</v>
      </c>
      <c r="D303" s="639" t="s">
        <v>822</v>
      </c>
      <c r="E303" s="682">
        <v>5000</v>
      </c>
      <c r="F303" s="682">
        <v>2739.04</v>
      </c>
      <c r="G303" s="641">
        <f t="shared" si="11"/>
        <v>54.7808</v>
      </c>
    </row>
    <row r="304" spans="1:7" s="650" customFormat="1" ht="32.25" customHeight="1">
      <c r="A304" s="679"/>
      <c r="B304" s="695" t="s">
        <v>578</v>
      </c>
      <c r="C304" s="638"/>
      <c r="D304" s="632" t="s">
        <v>448</v>
      </c>
      <c r="E304" s="698">
        <f>SUM(E305,E306,E307,E308)</f>
        <v>333000</v>
      </c>
      <c r="F304" s="698">
        <f>SUM(F305,F306,F307,F308)</f>
        <v>323951.93000000005</v>
      </c>
      <c r="G304" s="634">
        <f t="shared" si="11"/>
        <v>97.28286186186187</v>
      </c>
    </row>
    <row r="305" spans="1:7" s="654" customFormat="1" ht="21" customHeight="1">
      <c r="A305" s="679"/>
      <c r="B305" s="680"/>
      <c r="C305" s="681" t="s">
        <v>987</v>
      </c>
      <c r="D305" s="639" t="s">
        <v>1160</v>
      </c>
      <c r="E305" s="682">
        <v>0</v>
      </c>
      <c r="F305" s="682">
        <v>3549.88</v>
      </c>
      <c r="G305" s="641" t="s">
        <v>1195</v>
      </c>
    </row>
    <row r="306" spans="1:7" s="654" customFormat="1" ht="57" customHeight="1" hidden="1">
      <c r="A306" s="679"/>
      <c r="B306" s="680"/>
      <c r="C306" s="638">
        <v>2010</v>
      </c>
      <c r="D306" s="639" t="s">
        <v>382</v>
      </c>
      <c r="E306" s="682">
        <v>0</v>
      </c>
      <c r="F306" s="682">
        <v>0</v>
      </c>
      <c r="G306" s="641" t="e">
        <f aca="true" t="shared" si="12" ref="G306:G314">F306/E306*100</f>
        <v>#DIV/0!</v>
      </c>
    </row>
    <row r="307" spans="1:7" s="654" customFormat="1" ht="44.25" customHeight="1">
      <c r="A307" s="679"/>
      <c r="B307" s="680"/>
      <c r="C307" s="638">
        <v>2030</v>
      </c>
      <c r="D307" s="639" t="s">
        <v>388</v>
      </c>
      <c r="E307" s="682">
        <v>288000</v>
      </c>
      <c r="F307" s="682">
        <v>287969.27</v>
      </c>
      <c r="G307" s="641">
        <f t="shared" si="12"/>
        <v>99.98932986111112</v>
      </c>
    </row>
    <row r="308" spans="1:7" s="654" customFormat="1" ht="63.75" customHeight="1">
      <c r="A308" s="679"/>
      <c r="B308" s="680"/>
      <c r="C308" s="638">
        <v>2910</v>
      </c>
      <c r="D308" s="639" t="s">
        <v>822</v>
      </c>
      <c r="E308" s="682">
        <v>45000</v>
      </c>
      <c r="F308" s="682">
        <v>32432.78</v>
      </c>
      <c r="G308" s="641">
        <f t="shared" si="12"/>
        <v>72.07284444444444</v>
      </c>
    </row>
    <row r="309" spans="1:7" ht="20.25" customHeight="1" hidden="1">
      <c r="A309" s="406"/>
      <c r="B309" s="415" t="s">
        <v>579</v>
      </c>
      <c r="C309" s="382"/>
      <c r="D309" s="378" t="s">
        <v>30</v>
      </c>
      <c r="E309" s="418">
        <f>SUM(E310)</f>
        <v>0</v>
      </c>
      <c r="F309" s="418">
        <f>SUM(F310)</f>
        <v>0</v>
      </c>
      <c r="G309" s="385" t="e">
        <f t="shared" si="12"/>
        <v>#DIV/0!</v>
      </c>
    </row>
    <row r="310" spans="1:7" s="397" customFormat="1" ht="21" customHeight="1" hidden="1">
      <c r="A310" s="406"/>
      <c r="B310" s="407"/>
      <c r="C310" s="408" t="s">
        <v>987</v>
      </c>
      <c r="D310" s="383" t="s">
        <v>1160</v>
      </c>
      <c r="E310" s="409">
        <v>0</v>
      </c>
      <c r="F310" s="409">
        <v>0</v>
      </c>
      <c r="G310" s="385" t="e">
        <f t="shared" si="12"/>
        <v>#DIV/0!</v>
      </c>
    </row>
    <row r="311" spans="1:7" s="650" customFormat="1" ht="20.25" customHeight="1">
      <c r="A311" s="679"/>
      <c r="B311" s="695" t="s">
        <v>547</v>
      </c>
      <c r="C311" s="638"/>
      <c r="D311" s="632" t="s">
        <v>1739</v>
      </c>
      <c r="E311" s="698">
        <f>SUM(E312,E313)</f>
        <v>971274</v>
      </c>
      <c r="F311" s="698">
        <f>SUM(F312,F313)</f>
        <v>931323.49</v>
      </c>
      <c r="G311" s="634">
        <f t="shared" si="12"/>
        <v>95.88679301618286</v>
      </c>
    </row>
    <row r="312" spans="1:7" s="654" customFormat="1" ht="39.75" customHeight="1">
      <c r="A312" s="679"/>
      <c r="B312" s="680"/>
      <c r="C312" s="681" t="s">
        <v>568</v>
      </c>
      <c r="D312" s="639" t="s">
        <v>388</v>
      </c>
      <c r="E312" s="682">
        <v>956274</v>
      </c>
      <c r="F312" s="682">
        <v>926287.59</v>
      </c>
      <c r="G312" s="641">
        <f t="shared" si="12"/>
        <v>96.86424497581237</v>
      </c>
    </row>
    <row r="313" spans="1:7" s="654" customFormat="1" ht="63.75" customHeight="1">
      <c r="A313" s="679"/>
      <c r="B313" s="680"/>
      <c r="C313" s="638">
        <v>2910</v>
      </c>
      <c r="D313" s="639" t="s">
        <v>822</v>
      </c>
      <c r="E313" s="682">
        <v>15000</v>
      </c>
      <c r="F313" s="682">
        <v>5035.9</v>
      </c>
      <c r="G313" s="641">
        <f t="shared" si="12"/>
        <v>33.57266666666666</v>
      </c>
    </row>
    <row r="314" spans="1:7" s="650" customFormat="1" ht="21.75" customHeight="1">
      <c r="A314" s="694"/>
      <c r="B314" s="695" t="s">
        <v>580</v>
      </c>
      <c r="C314" s="696"/>
      <c r="D314" s="632" t="s">
        <v>31</v>
      </c>
      <c r="E314" s="698">
        <f>SUM(E315,E316,E317,E318)</f>
        <v>599150</v>
      </c>
      <c r="F314" s="698">
        <f>SUM(F315,F316,F317,F318)</f>
        <v>622731.82</v>
      </c>
      <c r="G314" s="634">
        <f t="shared" si="12"/>
        <v>103.93587916214638</v>
      </c>
    </row>
    <row r="315" spans="1:7" s="654" customFormat="1" ht="21.75" customHeight="1">
      <c r="A315" s="679"/>
      <c r="B315" s="680"/>
      <c r="C315" s="681" t="s">
        <v>986</v>
      </c>
      <c r="D315" s="704" t="s">
        <v>1205</v>
      </c>
      <c r="E315" s="682">
        <v>0</v>
      </c>
      <c r="F315" s="682">
        <v>5691.87</v>
      </c>
      <c r="G315" s="641" t="s">
        <v>1195</v>
      </c>
    </row>
    <row r="316" spans="1:7" s="650" customFormat="1" ht="21.75" customHeight="1">
      <c r="A316" s="694"/>
      <c r="B316" s="695"/>
      <c r="C316" s="681" t="s">
        <v>987</v>
      </c>
      <c r="D316" s="639" t="s">
        <v>1160</v>
      </c>
      <c r="E316" s="682">
        <v>0</v>
      </c>
      <c r="F316" s="682">
        <v>17889.95</v>
      </c>
      <c r="G316" s="641" t="s">
        <v>1195</v>
      </c>
    </row>
    <row r="317" spans="1:7" s="650" customFormat="1" ht="56.25" customHeight="1">
      <c r="A317" s="679"/>
      <c r="B317" s="680"/>
      <c r="C317" s="681" t="s">
        <v>583</v>
      </c>
      <c r="D317" s="639" t="s">
        <v>382</v>
      </c>
      <c r="E317" s="682">
        <v>10150</v>
      </c>
      <c r="F317" s="682">
        <v>10150</v>
      </c>
      <c r="G317" s="641">
        <f>F317/E317*100</f>
        <v>100</v>
      </c>
    </row>
    <row r="318" spans="1:7" s="654" customFormat="1" ht="43.5" customHeight="1">
      <c r="A318" s="679"/>
      <c r="B318" s="680"/>
      <c r="C318" s="681" t="s">
        <v>568</v>
      </c>
      <c r="D318" s="639" t="s">
        <v>388</v>
      </c>
      <c r="E318" s="682">
        <v>589000</v>
      </c>
      <c r="F318" s="682">
        <v>589000</v>
      </c>
      <c r="G318" s="641">
        <f>F318/E318*100</f>
        <v>100</v>
      </c>
    </row>
    <row r="319" spans="1:7" ht="43.5" customHeight="1" hidden="1">
      <c r="A319" s="414"/>
      <c r="B319" s="415" t="s">
        <v>736</v>
      </c>
      <c r="C319" s="430"/>
      <c r="D319" s="417" t="s">
        <v>737</v>
      </c>
      <c r="E319" s="418">
        <f>SUM(E320)</f>
        <v>0</v>
      </c>
      <c r="F319" s="418">
        <f>SUM(F320)</f>
        <v>0</v>
      </c>
      <c r="G319" s="380" t="s">
        <v>1195</v>
      </c>
    </row>
    <row r="320" spans="1:7" s="397" customFormat="1" ht="19.5" customHeight="1" hidden="1">
      <c r="A320" s="406"/>
      <c r="B320" s="407"/>
      <c r="C320" s="408" t="s">
        <v>987</v>
      </c>
      <c r="D320" s="383" t="s">
        <v>1160</v>
      </c>
      <c r="E320" s="409">
        <v>0</v>
      </c>
      <c r="F320" s="409">
        <v>0</v>
      </c>
      <c r="G320" s="385" t="s">
        <v>1195</v>
      </c>
    </row>
    <row r="321" spans="1:7" s="650" customFormat="1" ht="27.75" customHeight="1">
      <c r="A321" s="694"/>
      <c r="B321" s="695" t="s">
        <v>582</v>
      </c>
      <c r="C321" s="696"/>
      <c r="D321" s="632" t="s">
        <v>34</v>
      </c>
      <c r="E321" s="698">
        <f>SUM(E322,E323,E324)</f>
        <v>164000</v>
      </c>
      <c r="F321" s="698">
        <f>SUM(F322,F323,F324)</f>
        <v>158755.91999999998</v>
      </c>
      <c r="G321" s="634">
        <f>F321/E321*100</f>
        <v>96.80239024390242</v>
      </c>
    </row>
    <row r="322" spans="1:7" s="654" customFormat="1" ht="17.25" customHeight="1">
      <c r="A322" s="679"/>
      <c r="B322" s="680"/>
      <c r="C322" s="681" t="s">
        <v>985</v>
      </c>
      <c r="D322" s="655" t="s">
        <v>1207</v>
      </c>
      <c r="E322" s="682">
        <v>86000</v>
      </c>
      <c r="F322" s="682">
        <v>81048.91</v>
      </c>
      <c r="G322" s="641">
        <f>F322/E322*100</f>
        <v>94.24291860465117</v>
      </c>
    </row>
    <row r="323" spans="1:7" s="654" customFormat="1" ht="17.25" customHeight="1" hidden="1">
      <c r="A323" s="679"/>
      <c r="B323" s="680"/>
      <c r="C323" s="681" t="s">
        <v>986</v>
      </c>
      <c r="D323" s="704" t="s">
        <v>1205</v>
      </c>
      <c r="E323" s="682">
        <v>0</v>
      </c>
      <c r="F323" s="682"/>
      <c r="G323" s="641" t="s">
        <v>1195</v>
      </c>
    </row>
    <row r="324" spans="1:7" s="650" customFormat="1" ht="56.25" customHeight="1">
      <c r="A324" s="679"/>
      <c r="B324" s="680"/>
      <c r="C324" s="681" t="s">
        <v>583</v>
      </c>
      <c r="D324" s="639" t="s">
        <v>382</v>
      </c>
      <c r="E324" s="682">
        <v>78000</v>
      </c>
      <c r="F324" s="682">
        <v>77707.01</v>
      </c>
      <c r="G324" s="641">
        <f>F324/E324*100</f>
        <v>99.62437179487179</v>
      </c>
    </row>
    <row r="325" spans="1:7" ht="24" customHeight="1" hidden="1">
      <c r="A325" s="414"/>
      <c r="B325" s="415" t="s">
        <v>1645</v>
      </c>
      <c r="C325" s="430"/>
      <c r="D325" s="417" t="s">
        <v>1734</v>
      </c>
      <c r="E325" s="418">
        <f>SUM(E326)</f>
        <v>0</v>
      </c>
      <c r="F325" s="418">
        <f>SUM(F326)</f>
        <v>0</v>
      </c>
      <c r="G325" s="380" t="e">
        <f>F325/E325*100</f>
        <v>#DIV/0!</v>
      </c>
    </row>
    <row r="326" spans="1:7" ht="56.25" customHeight="1" hidden="1">
      <c r="A326" s="406"/>
      <c r="B326" s="407"/>
      <c r="C326" s="408" t="s">
        <v>583</v>
      </c>
      <c r="D326" s="383" t="s">
        <v>382</v>
      </c>
      <c r="E326" s="409">
        <v>0</v>
      </c>
      <c r="F326" s="409">
        <v>0</v>
      </c>
      <c r="G326" s="385" t="e">
        <f>F326/E326*100</f>
        <v>#DIV/0!</v>
      </c>
    </row>
    <row r="327" spans="1:7" s="650" customFormat="1" ht="18" customHeight="1">
      <c r="A327" s="694"/>
      <c r="B327" s="695" t="s">
        <v>584</v>
      </c>
      <c r="C327" s="712"/>
      <c r="D327" s="632" t="s">
        <v>215</v>
      </c>
      <c r="E327" s="698">
        <f>SUM(E328,E329,E330,E331,E332)</f>
        <v>713672</v>
      </c>
      <c r="F327" s="698">
        <f>SUM(F328,F329,F330,F331,F332)</f>
        <v>706462</v>
      </c>
      <c r="G327" s="634">
        <f>F327/E327*100</f>
        <v>98.98973197771525</v>
      </c>
    </row>
    <row r="328" spans="1:7" s="654" customFormat="1" ht="30.75" customHeight="1" hidden="1">
      <c r="A328" s="679"/>
      <c r="B328" s="680"/>
      <c r="C328" s="681" t="s">
        <v>988</v>
      </c>
      <c r="D328" s="639" t="s">
        <v>436</v>
      </c>
      <c r="E328" s="682">
        <v>0</v>
      </c>
      <c r="F328" s="682">
        <v>0</v>
      </c>
      <c r="G328" s="641" t="s">
        <v>1195</v>
      </c>
    </row>
    <row r="329" spans="1:7" s="654" customFormat="1" ht="55.5" customHeight="1" hidden="1">
      <c r="A329" s="679"/>
      <c r="B329" s="680"/>
      <c r="C329" s="681" t="s">
        <v>567</v>
      </c>
      <c r="D329" s="655" t="s">
        <v>395</v>
      </c>
      <c r="E329" s="682">
        <v>0</v>
      </c>
      <c r="F329" s="682">
        <v>0</v>
      </c>
      <c r="G329" s="641" t="e">
        <f aca="true" t="shared" si="13" ref="G329:G335">F329/E329*100</f>
        <v>#DIV/0!</v>
      </c>
    </row>
    <row r="330" spans="1:7" s="650" customFormat="1" ht="56.25" customHeight="1">
      <c r="A330" s="679"/>
      <c r="B330" s="680"/>
      <c r="C330" s="681" t="s">
        <v>583</v>
      </c>
      <c r="D330" s="639" t="s">
        <v>382</v>
      </c>
      <c r="E330" s="682">
        <v>164510</v>
      </c>
      <c r="F330" s="682">
        <v>157300</v>
      </c>
      <c r="G330" s="641">
        <f>F330/E330*100</f>
        <v>95.6172877028752</v>
      </c>
    </row>
    <row r="331" spans="1:7" s="650" customFormat="1" ht="42" customHeight="1">
      <c r="A331" s="679"/>
      <c r="B331" s="680"/>
      <c r="C331" s="681" t="s">
        <v>568</v>
      </c>
      <c r="D331" s="639" t="s">
        <v>388</v>
      </c>
      <c r="E331" s="682">
        <v>549162</v>
      </c>
      <c r="F331" s="682">
        <v>549162</v>
      </c>
      <c r="G331" s="641">
        <f t="shared" si="13"/>
        <v>100</v>
      </c>
    </row>
    <row r="332" spans="1:7" ht="54.75" customHeight="1" hidden="1">
      <c r="A332" s="406"/>
      <c r="B332" s="407"/>
      <c r="C332" s="394" t="s">
        <v>570</v>
      </c>
      <c r="D332" s="398" t="s">
        <v>807</v>
      </c>
      <c r="E332" s="409">
        <v>0</v>
      </c>
      <c r="F332" s="409">
        <v>0</v>
      </c>
      <c r="G332" s="385" t="e">
        <f t="shared" si="13"/>
        <v>#DIV/0!</v>
      </c>
    </row>
    <row r="333" spans="1:7" s="646" customFormat="1" ht="30" customHeight="1">
      <c r="A333" s="699" t="s">
        <v>25</v>
      </c>
      <c r="B333" s="700"/>
      <c r="C333" s="750"/>
      <c r="D333" s="718" t="s">
        <v>1095</v>
      </c>
      <c r="E333" s="672">
        <f>SUM(E334,E339,E341)</f>
        <v>913200</v>
      </c>
      <c r="F333" s="672">
        <f>SUM(F334,F339,F341)</f>
        <v>854037.06</v>
      </c>
      <c r="G333" s="628">
        <f t="shared" si="13"/>
        <v>93.52136005256241</v>
      </c>
    </row>
    <row r="334" spans="1:7" s="650" customFormat="1" ht="21.75" customHeight="1">
      <c r="A334" s="694"/>
      <c r="B334" s="695" t="s">
        <v>26</v>
      </c>
      <c r="C334" s="712"/>
      <c r="D334" s="697" t="s">
        <v>1096</v>
      </c>
      <c r="E334" s="698">
        <f>SUM(E335,E336,E337,E338)</f>
        <v>582000</v>
      </c>
      <c r="F334" s="698">
        <f>SUM(F335,F336,F337,F338)</f>
        <v>564549.64</v>
      </c>
      <c r="G334" s="634">
        <f t="shared" si="13"/>
        <v>97.00165635738833</v>
      </c>
    </row>
    <row r="335" spans="1:7" s="654" customFormat="1" ht="24" customHeight="1">
      <c r="A335" s="679"/>
      <c r="B335" s="680"/>
      <c r="C335" s="681" t="s">
        <v>985</v>
      </c>
      <c r="D335" s="639" t="s">
        <v>1207</v>
      </c>
      <c r="E335" s="682">
        <v>582000</v>
      </c>
      <c r="F335" s="682">
        <v>564548.72</v>
      </c>
      <c r="G335" s="641">
        <f t="shared" si="13"/>
        <v>97.00149828178694</v>
      </c>
    </row>
    <row r="336" spans="1:7" s="654" customFormat="1" ht="24" customHeight="1">
      <c r="A336" s="679"/>
      <c r="B336" s="680"/>
      <c r="C336" s="681" t="s">
        <v>986</v>
      </c>
      <c r="D336" s="639" t="s">
        <v>1161</v>
      </c>
      <c r="E336" s="682">
        <v>0</v>
      </c>
      <c r="F336" s="682">
        <v>0.92</v>
      </c>
      <c r="G336" s="634" t="s">
        <v>1195</v>
      </c>
    </row>
    <row r="337" spans="1:7" s="397" customFormat="1" ht="24" customHeight="1" hidden="1">
      <c r="A337" s="406"/>
      <c r="B337" s="407"/>
      <c r="C337" s="408" t="s">
        <v>987</v>
      </c>
      <c r="D337" s="383" t="s">
        <v>1160</v>
      </c>
      <c r="E337" s="409">
        <v>0</v>
      </c>
      <c r="F337" s="409">
        <v>0</v>
      </c>
      <c r="G337" s="380" t="s">
        <v>1195</v>
      </c>
    </row>
    <row r="338" spans="1:7" s="650" customFormat="1" ht="42" customHeight="1" hidden="1">
      <c r="A338" s="679"/>
      <c r="B338" s="680"/>
      <c r="C338" s="681" t="s">
        <v>568</v>
      </c>
      <c r="D338" s="639" t="s">
        <v>388</v>
      </c>
      <c r="E338" s="682">
        <v>0</v>
      </c>
      <c r="F338" s="682">
        <v>0</v>
      </c>
      <c r="G338" s="641" t="e">
        <f>F338/E338*100</f>
        <v>#DIV/0!</v>
      </c>
    </row>
    <row r="339" spans="1:7" ht="30" customHeight="1" hidden="1">
      <c r="A339" s="414"/>
      <c r="B339" s="415" t="s">
        <v>1675</v>
      </c>
      <c r="C339" s="430"/>
      <c r="D339" s="417" t="s">
        <v>1676</v>
      </c>
      <c r="E339" s="418">
        <f>SUM(E340)</f>
        <v>0</v>
      </c>
      <c r="F339" s="418">
        <f>SUM(F340)</f>
        <v>0</v>
      </c>
      <c r="G339" s="380" t="s">
        <v>1195</v>
      </c>
    </row>
    <row r="340" spans="1:7" s="397" customFormat="1" ht="24" customHeight="1" hidden="1">
      <c r="A340" s="406"/>
      <c r="B340" s="407"/>
      <c r="C340" s="408" t="s">
        <v>987</v>
      </c>
      <c r="D340" s="383" t="s">
        <v>1160</v>
      </c>
      <c r="E340" s="409">
        <v>0</v>
      </c>
      <c r="F340" s="409">
        <v>0</v>
      </c>
      <c r="G340" s="380" t="s">
        <v>1195</v>
      </c>
    </row>
    <row r="341" spans="1:7" s="650" customFormat="1" ht="20.25" customHeight="1">
      <c r="A341" s="694"/>
      <c r="B341" s="695" t="s">
        <v>1099</v>
      </c>
      <c r="C341" s="712"/>
      <c r="D341" s="632" t="s">
        <v>215</v>
      </c>
      <c r="E341" s="698">
        <f>SUM(E342,E343,E344,E345,E347,E349,E351,E352)</f>
        <v>331200</v>
      </c>
      <c r="F341" s="698">
        <f>SUM(F342,F343,F344,F345,F347,F349,F351,F352)</f>
        <v>289487.42</v>
      </c>
      <c r="G341" s="634">
        <f>F341/E341*100</f>
        <v>87.40562198067633</v>
      </c>
    </row>
    <row r="342" spans="1:7" s="650" customFormat="1" ht="67.5" customHeight="1">
      <c r="A342" s="694"/>
      <c r="B342" s="695"/>
      <c r="C342" s="1794" t="s">
        <v>543</v>
      </c>
      <c r="D342" s="744" t="s">
        <v>544</v>
      </c>
      <c r="E342" s="733">
        <v>0</v>
      </c>
      <c r="F342" s="733">
        <v>0.37</v>
      </c>
      <c r="G342" s="662" t="s">
        <v>1195</v>
      </c>
    </row>
    <row r="343" spans="1:7" s="650" customFormat="1" ht="21.75" customHeight="1" hidden="1">
      <c r="A343" s="694"/>
      <c r="B343" s="695"/>
      <c r="C343" s="681" t="s">
        <v>987</v>
      </c>
      <c r="D343" s="639" t="s">
        <v>1160</v>
      </c>
      <c r="E343" s="682">
        <v>0</v>
      </c>
      <c r="F343" s="682">
        <v>0</v>
      </c>
      <c r="G343" s="641" t="s">
        <v>1195</v>
      </c>
    </row>
    <row r="344" spans="1:7" s="650" customFormat="1" ht="20.25" customHeight="1">
      <c r="A344" s="694"/>
      <c r="B344" s="695"/>
      <c r="C344" s="681" t="s">
        <v>986</v>
      </c>
      <c r="D344" s="704" t="s">
        <v>1205</v>
      </c>
      <c r="E344" s="682">
        <v>0</v>
      </c>
      <c r="F344" s="682">
        <v>10.85</v>
      </c>
      <c r="G344" s="641" t="s">
        <v>1195</v>
      </c>
    </row>
    <row r="345" spans="1:7" s="650" customFormat="1" ht="65.25" customHeight="1">
      <c r="A345" s="679"/>
      <c r="B345" s="680"/>
      <c r="C345" s="681" t="s">
        <v>536</v>
      </c>
      <c r="D345" s="639" t="s">
        <v>712</v>
      </c>
      <c r="E345" s="682">
        <v>315335</v>
      </c>
      <c r="F345" s="682">
        <v>277630.08</v>
      </c>
      <c r="G345" s="641">
        <f>F345/E345*100</f>
        <v>88.04290040750314</v>
      </c>
    </row>
    <row r="346" spans="1:7" s="650" customFormat="1" ht="30" customHeight="1">
      <c r="A346" s="679"/>
      <c r="B346" s="680"/>
      <c r="C346" s="681"/>
      <c r="D346" s="639" t="s">
        <v>111</v>
      </c>
      <c r="E346" s="682"/>
      <c r="F346" s="682"/>
      <c r="G346" s="641"/>
    </row>
    <row r="347" spans="1:7" s="650" customFormat="1" ht="71.25" customHeight="1" hidden="1">
      <c r="A347" s="679"/>
      <c r="B347" s="680"/>
      <c r="C347" s="681" t="s">
        <v>1646</v>
      </c>
      <c r="D347" s="639" t="s">
        <v>712</v>
      </c>
      <c r="E347" s="682">
        <v>0</v>
      </c>
      <c r="F347" s="682">
        <v>0</v>
      </c>
      <c r="G347" s="641" t="s">
        <v>1195</v>
      </c>
    </row>
    <row r="348" spans="1:7" s="650" customFormat="1" ht="78.75" customHeight="1" hidden="1">
      <c r="A348" s="679"/>
      <c r="B348" s="680"/>
      <c r="C348" s="681"/>
      <c r="D348" s="639" t="s">
        <v>808</v>
      </c>
      <c r="E348" s="682"/>
      <c r="F348" s="682"/>
      <c r="G348" s="641"/>
    </row>
    <row r="349" spans="1:7" s="650" customFormat="1" ht="63.75" customHeight="1">
      <c r="A349" s="679"/>
      <c r="B349" s="680"/>
      <c r="C349" s="681" t="s">
        <v>1428</v>
      </c>
      <c r="D349" s="639" t="s">
        <v>712</v>
      </c>
      <c r="E349" s="682">
        <v>15865</v>
      </c>
      <c r="F349" s="682">
        <v>11684.7</v>
      </c>
      <c r="G349" s="641">
        <f>F349/E349*100</f>
        <v>73.6508036558462</v>
      </c>
    </row>
    <row r="350" spans="1:7" s="650" customFormat="1" ht="75.75" customHeight="1">
      <c r="A350" s="679"/>
      <c r="B350" s="680"/>
      <c r="C350" s="681"/>
      <c r="D350" s="639" t="s">
        <v>319</v>
      </c>
      <c r="E350" s="682"/>
      <c r="F350" s="682"/>
      <c r="G350" s="641"/>
    </row>
    <row r="351" spans="1:7" s="654" customFormat="1" ht="67.5" customHeight="1">
      <c r="A351" s="679"/>
      <c r="B351" s="680"/>
      <c r="C351" s="638">
        <v>2910</v>
      </c>
      <c r="D351" s="639" t="s">
        <v>822</v>
      </c>
      <c r="E351" s="682">
        <v>0</v>
      </c>
      <c r="F351" s="682">
        <v>161.42</v>
      </c>
      <c r="G351" s="641" t="s">
        <v>1195</v>
      </c>
    </row>
    <row r="352" spans="1:7" s="397" customFormat="1" ht="53.25" customHeight="1" hidden="1">
      <c r="A352" s="406"/>
      <c r="B352" s="407"/>
      <c r="C352" s="382">
        <v>6298</v>
      </c>
      <c r="D352" s="398" t="s">
        <v>807</v>
      </c>
      <c r="E352" s="409">
        <v>0</v>
      </c>
      <c r="F352" s="409">
        <v>0</v>
      </c>
      <c r="G352" s="385" t="s">
        <v>1195</v>
      </c>
    </row>
    <row r="353" spans="1:7" s="397" customFormat="1" ht="79.5" customHeight="1" hidden="1">
      <c r="A353" s="406"/>
      <c r="B353" s="407"/>
      <c r="C353" s="382"/>
      <c r="D353" s="383" t="s">
        <v>808</v>
      </c>
      <c r="E353" s="409"/>
      <c r="F353" s="409"/>
      <c r="G353" s="385"/>
    </row>
    <row r="354" spans="1:7" s="650" customFormat="1" ht="21" customHeight="1">
      <c r="A354" s="699" t="s">
        <v>35</v>
      </c>
      <c r="B354" s="700"/>
      <c r="C354" s="700"/>
      <c r="D354" s="718" t="s">
        <v>38</v>
      </c>
      <c r="E354" s="672">
        <f>SUM(E355,E359)</f>
        <v>236722</v>
      </c>
      <c r="F354" s="672">
        <f>SUM(F355,F359)</f>
        <v>149728.18999999997</v>
      </c>
      <c r="G354" s="628">
        <f aca="true" t="shared" si="14" ref="G354:G391">F354/E354*100</f>
        <v>63.25064421557776</v>
      </c>
    </row>
    <row r="355" spans="1:7" s="650" customFormat="1" ht="17.25" customHeight="1">
      <c r="A355" s="694"/>
      <c r="B355" s="695" t="s">
        <v>88</v>
      </c>
      <c r="C355" s="695"/>
      <c r="D355" s="697" t="s">
        <v>89</v>
      </c>
      <c r="E355" s="698">
        <f>SUM(E356,E357,E358)</f>
        <v>236722</v>
      </c>
      <c r="F355" s="698">
        <f>SUM(F356,F357,F358)</f>
        <v>146121.16999999998</v>
      </c>
      <c r="G355" s="634">
        <f t="shared" si="14"/>
        <v>61.72690751176485</v>
      </c>
    </row>
    <row r="356" spans="1:7" s="654" customFormat="1" ht="57" customHeight="1">
      <c r="A356" s="679"/>
      <c r="B356" s="680"/>
      <c r="C356" s="680" t="s">
        <v>567</v>
      </c>
      <c r="D356" s="655" t="s">
        <v>1107</v>
      </c>
      <c r="E356" s="682">
        <v>7500</v>
      </c>
      <c r="F356" s="682">
        <v>7500</v>
      </c>
      <c r="G356" s="641">
        <f t="shared" si="14"/>
        <v>100</v>
      </c>
    </row>
    <row r="357" spans="1:7" s="654" customFormat="1" ht="41.25" customHeight="1">
      <c r="A357" s="679"/>
      <c r="B357" s="680"/>
      <c r="C357" s="680" t="s">
        <v>568</v>
      </c>
      <c r="D357" s="639" t="s">
        <v>388</v>
      </c>
      <c r="E357" s="682">
        <v>137718</v>
      </c>
      <c r="F357" s="682">
        <v>86068.33</v>
      </c>
      <c r="G357" s="641">
        <f t="shared" si="14"/>
        <v>62.49606442149901</v>
      </c>
    </row>
    <row r="358" spans="1:7" s="654" customFormat="1" ht="69" customHeight="1">
      <c r="A358" s="679"/>
      <c r="B358" s="680"/>
      <c r="C358" s="731" t="s">
        <v>1076</v>
      </c>
      <c r="D358" s="685" t="s">
        <v>1077</v>
      </c>
      <c r="E358" s="733">
        <v>91504</v>
      </c>
      <c r="F358" s="733">
        <v>52552.84</v>
      </c>
      <c r="G358" s="662">
        <f t="shared" si="14"/>
        <v>57.432287113131665</v>
      </c>
    </row>
    <row r="359" spans="1:7" s="654" customFormat="1" ht="27.75" customHeight="1">
      <c r="A359" s="679"/>
      <c r="B359" s="731" t="s">
        <v>471</v>
      </c>
      <c r="C359" s="731"/>
      <c r="D359" s="1795" t="s">
        <v>215</v>
      </c>
      <c r="E359" s="715">
        <f>SUM(E360:E361)</f>
        <v>0</v>
      </c>
      <c r="F359" s="715">
        <f>SUM(F360:F361)</f>
        <v>3607.02</v>
      </c>
      <c r="G359" s="1773" t="s">
        <v>1195</v>
      </c>
    </row>
    <row r="360" spans="1:7" s="654" customFormat="1" ht="25.5" customHeight="1">
      <c r="A360" s="679"/>
      <c r="B360" s="731"/>
      <c r="C360" s="731" t="s">
        <v>986</v>
      </c>
      <c r="D360" s="1796" t="s">
        <v>1205</v>
      </c>
      <c r="E360" s="733">
        <v>0</v>
      </c>
      <c r="F360" s="733">
        <v>481.02</v>
      </c>
      <c r="G360" s="1773" t="s">
        <v>1195</v>
      </c>
    </row>
    <row r="361" spans="1:7" s="654" customFormat="1" ht="24" customHeight="1">
      <c r="A361" s="679"/>
      <c r="B361" s="731"/>
      <c r="C361" s="731" t="s">
        <v>987</v>
      </c>
      <c r="D361" s="732" t="s">
        <v>1160</v>
      </c>
      <c r="E361" s="733">
        <v>0</v>
      </c>
      <c r="F361" s="733">
        <v>3126</v>
      </c>
      <c r="G361" s="1773" t="s">
        <v>1195</v>
      </c>
    </row>
    <row r="362" spans="1:7" s="654" customFormat="1" ht="29.25" customHeight="1">
      <c r="A362" s="699" t="s">
        <v>91</v>
      </c>
      <c r="B362" s="700"/>
      <c r="C362" s="700"/>
      <c r="D362" s="718" t="s">
        <v>1208</v>
      </c>
      <c r="E362" s="672">
        <f>SUM(E363,E370,E378,E389,E380,E383,E391)</f>
        <v>5408449</v>
      </c>
      <c r="F362" s="672">
        <f>SUM(F363,F370,F378,F389,F380,F383,F391)</f>
        <v>6134387.47</v>
      </c>
      <c r="G362" s="628">
        <f t="shared" si="14"/>
        <v>113.42230406536143</v>
      </c>
    </row>
    <row r="363" spans="1:7" s="650" customFormat="1" ht="21.75" customHeight="1">
      <c r="A363" s="694"/>
      <c r="B363" s="695" t="s">
        <v>587</v>
      </c>
      <c r="C363" s="712"/>
      <c r="D363" s="697" t="s">
        <v>588</v>
      </c>
      <c r="E363" s="698">
        <f>SUM(E364:E368)</f>
        <v>15392</v>
      </c>
      <c r="F363" s="698">
        <f>SUM(F364:F368)</f>
        <v>25921.2</v>
      </c>
      <c r="G363" s="641">
        <f t="shared" si="14"/>
        <v>168.40696465696465</v>
      </c>
    </row>
    <row r="364" spans="1:7" s="650" customFormat="1" ht="31.5" customHeight="1">
      <c r="A364" s="694"/>
      <c r="B364" s="695"/>
      <c r="C364" s="658" t="s">
        <v>435</v>
      </c>
      <c r="D364" s="685" t="s">
        <v>434</v>
      </c>
      <c r="E364" s="715">
        <v>0</v>
      </c>
      <c r="F364" s="715">
        <v>10530</v>
      </c>
      <c r="G364" s="662" t="s">
        <v>1195</v>
      </c>
    </row>
    <row r="365" spans="1:7" s="654" customFormat="1" ht="21.75" customHeight="1" hidden="1">
      <c r="A365" s="679"/>
      <c r="B365" s="680"/>
      <c r="C365" s="681" t="s">
        <v>972</v>
      </c>
      <c r="D365" s="639" t="s">
        <v>971</v>
      </c>
      <c r="E365" s="682">
        <v>0</v>
      </c>
      <c r="F365" s="682"/>
      <c r="G365" s="641" t="e">
        <f t="shared" si="14"/>
        <v>#DIV/0!</v>
      </c>
    </row>
    <row r="366" spans="1:7" s="654" customFormat="1" ht="21.75" customHeight="1" hidden="1">
      <c r="A366" s="679"/>
      <c r="B366" s="680"/>
      <c r="C366" s="681" t="s">
        <v>987</v>
      </c>
      <c r="D366" s="639" t="s">
        <v>1160</v>
      </c>
      <c r="E366" s="682">
        <v>0</v>
      </c>
      <c r="F366" s="682"/>
      <c r="G366" s="641" t="e">
        <f t="shared" si="14"/>
        <v>#DIV/0!</v>
      </c>
    </row>
    <row r="367" spans="1:7" s="650" customFormat="1" ht="30.75" customHeight="1" hidden="1">
      <c r="A367" s="679"/>
      <c r="B367" s="680"/>
      <c r="C367" s="681" t="s">
        <v>993</v>
      </c>
      <c r="D367" s="639" t="s">
        <v>394</v>
      </c>
      <c r="E367" s="682">
        <v>0</v>
      </c>
      <c r="F367" s="682"/>
      <c r="G367" s="641" t="e">
        <f t="shared" si="14"/>
        <v>#DIV/0!</v>
      </c>
    </row>
    <row r="368" spans="1:7" s="650" customFormat="1" ht="56.25" customHeight="1">
      <c r="A368" s="679"/>
      <c r="B368" s="680"/>
      <c r="C368" s="658" t="s">
        <v>1078</v>
      </c>
      <c r="D368" s="659" t="s">
        <v>1079</v>
      </c>
      <c r="E368" s="715">
        <v>15392</v>
      </c>
      <c r="F368" s="715">
        <v>15391.2</v>
      </c>
      <c r="G368" s="641">
        <f t="shared" si="14"/>
        <v>99.9948024948025</v>
      </c>
    </row>
    <row r="369" spans="1:7" s="650" customFormat="1" ht="54" customHeight="1" hidden="1">
      <c r="A369" s="679"/>
      <c r="B369" s="680"/>
      <c r="C369" s="681" t="s">
        <v>474</v>
      </c>
      <c r="D369" s="639" t="s">
        <v>478</v>
      </c>
      <c r="E369" s="682">
        <v>0</v>
      </c>
      <c r="F369" s="682">
        <v>0</v>
      </c>
      <c r="G369" s="641" t="e">
        <f t="shared" si="14"/>
        <v>#DIV/0!</v>
      </c>
    </row>
    <row r="370" spans="1:7" s="650" customFormat="1" ht="18.75" customHeight="1">
      <c r="A370" s="694"/>
      <c r="B370" s="695" t="s">
        <v>1248</v>
      </c>
      <c r="C370" s="712"/>
      <c r="D370" s="697" t="s">
        <v>1249</v>
      </c>
      <c r="E370" s="698">
        <f>SUM(E371,E372,E373,E375,E376)</f>
        <v>2572540</v>
      </c>
      <c r="F370" s="698">
        <f>SUM(F371,F372,F373,F375,F376)</f>
        <v>3707065.4699999997</v>
      </c>
      <c r="G370" s="634">
        <f t="shared" si="14"/>
        <v>144.10137335085167</v>
      </c>
    </row>
    <row r="371" spans="1:7" s="654" customFormat="1" ht="27" customHeight="1" hidden="1">
      <c r="A371" s="679"/>
      <c r="B371" s="680"/>
      <c r="C371" s="681" t="s">
        <v>988</v>
      </c>
      <c r="D371" s="655" t="s">
        <v>436</v>
      </c>
      <c r="E371" s="682">
        <v>0</v>
      </c>
      <c r="F371" s="682">
        <v>0</v>
      </c>
      <c r="G371" s="641" t="s">
        <v>1195</v>
      </c>
    </row>
    <row r="372" spans="1:7" s="663" customFormat="1" ht="19.5" customHeight="1" hidden="1">
      <c r="A372" s="730"/>
      <c r="B372" s="731"/>
      <c r="C372" s="1770" t="s">
        <v>987</v>
      </c>
      <c r="D372" s="1779" t="s">
        <v>1160</v>
      </c>
      <c r="E372" s="1780">
        <v>0</v>
      </c>
      <c r="F372" s="1780">
        <v>0</v>
      </c>
      <c r="G372" s="1777" t="s">
        <v>1195</v>
      </c>
    </row>
    <row r="373" spans="1:7" s="654" customFormat="1" ht="67.5" customHeight="1">
      <c r="A373" s="722"/>
      <c r="B373" s="723"/>
      <c r="C373" s="680" t="s">
        <v>345</v>
      </c>
      <c r="D373" s="692" t="s">
        <v>347</v>
      </c>
      <c r="E373" s="682">
        <v>0</v>
      </c>
      <c r="F373" s="682">
        <v>1813194.46</v>
      </c>
      <c r="G373" s="641" t="s">
        <v>1195</v>
      </c>
    </row>
    <row r="374" spans="1:7" s="654" customFormat="1" ht="27" customHeight="1">
      <c r="A374" s="679"/>
      <c r="B374" s="680"/>
      <c r="C374" s="681"/>
      <c r="D374" s="639" t="s">
        <v>111</v>
      </c>
      <c r="E374" s="682"/>
      <c r="F374" s="682"/>
      <c r="G374" s="641"/>
    </row>
    <row r="375" spans="1:7" s="397" customFormat="1" ht="55.5" customHeight="1" hidden="1">
      <c r="A375" s="406"/>
      <c r="B375" s="407"/>
      <c r="C375" s="408" t="s">
        <v>474</v>
      </c>
      <c r="D375" s="383" t="s">
        <v>478</v>
      </c>
      <c r="E375" s="409">
        <v>0</v>
      </c>
      <c r="F375" s="409">
        <v>0</v>
      </c>
      <c r="G375" s="385" t="e">
        <f t="shared" si="14"/>
        <v>#DIV/0!</v>
      </c>
    </row>
    <row r="376" spans="1:7" s="650" customFormat="1" ht="53.25" customHeight="1">
      <c r="A376" s="679"/>
      <c r="B376" s="680"/>
      <c r="C376" s="681" t="s">
        <v>424</v>
      </c>
      <c r="D376" s="655" t="s">
        <v>807</v>
      </c>
      <c r="E376" s="682">
        <v>2572540</v>
      </c>
      <c r="F376" s="682">
        <v>1893871.01</v>
      </c>
      <c r="G376" s="641">
        <f t="shared" si="14"/>
        <v>73.61871963118163</v>
      </c>
    </row>
    <row r="377" spans="1:7" s="650" customFormat="1" ht="77.25" customHeight="1">
      <c r="A377" s="679"/>
      <c r="B377" s="680"/>
      <c r="C377" s="681"/>
      <c r="D377" s="639" t="s">
        <v>808</v>
      </c>
      <c r="E377" s="682"/>
      <c r="F377" s="682"/>
      <c r="G377" s="641"/>
    </row>
    <row r="378" spans="1:7" ht="23.25" customHeight="1" hidden="1">
      <c r="A378" s="377"/>
      <c r="B378" s="390" t="s">
        <v>548</v>
      </c>
      <c r="C378" s="444"/>
      <c r="D378" s="378" t="s">
        <v>549</v>
      </c>
      <c r="E378" s="392">
        <f>SUM(E379)</f>
        <v>0</v>
      </c>
      <c r="F378" s="392">
        <f>SUM(F379)</f>
        <v>0</v>
      </c>
      <c r="G378" s="380" t="e">
        <f t="shared" si="14"/>
        <v>#DIV/0!</v>
      </c>
    </row>
    <row r="379" spans="1:7" ht="21" customHeight="1" hidden="1">
      <c r="A379" s="381"/>
      <c r="B379" s="394"/>
      <c r="C379" s="410" t="s">
        <v>987</v>
      </c>
      <c r="D379" s="398" t="s">
        <v>1160</v>
      </c>
      <c r="E379" s="396">
        <v>0</v>
      </c>
      <c r="F379" s="396">
        <v>0</v>
      </c>
      <c r="G379" s="385" t="e">
        <f t="shared" si="14"/>
        <v>#DIV/0!</v>
      </c>
    </row>
    <row r="380" spans="1:7" ht="23.25" customHeight="1">
      <c r="A380" s="377"/>
      <c r="B380" s="390" t="s">
        <v>93</v>
      </c>
      <c r="C380" s="444"/>
      <c r="D380" s="378" t="s">
        <v>94</v>
      </c>
      <c r="E380" s="392">
        <f>SUM(E381,E382)</f>
        <v>0</v>
      </c>
      <c r="F380" s="392">
        <f>SUM(F381,F382)</f>
        <v>8196.58</v>
      </c>
      <c r="G380" s="380" t="s">
        <v>1195</v>
      </c>
    </row>
    <row r="381" spans="1:7" s="397" customFormat="1" ht="18.75" customHeight="1" hidden="1">
      <c r="A381" s="406"/>
      <c r="B381" s="407"/>
      <c r="C381" s="407" t="s">
        <v>986</v>
      </c>
      <c r="D381" s="424" t="s">
        <v>1205</v>
      </c>
      <c r="E381" s="409">
        <v>0</v>
      </c>
      <c r="F381" s="409">
        <v>0</v>
      </c>
      <c r="G381" s="385" t="s">
        <v>1195</v>
      </c>
    </row>
    <row r="382" spans="1:7" ht="21" customHeight="1">
      <c r="A382" s="381"/>
      <c r="B382" s="394"/>
      <c r="C382" s="410" t="s">
        <v>987</v>
      </c>
      <c r="D382" s="398" t="s">
        <v>1160</v>
      </c>
      <c r="E382" s="396">
        <v>0</v>
      </c>
      <c r="F382" s="396">
        <v>8196.58</v>
      </c>
      <c r="G382" s="380" t="s">
        <v>1195</v>
      </c>
    </row>
    <row r="383" spans="1:7" s="650" customFormat="1" ht="26.25" customHeight="1">
      <c r="A383" s="630"/>
      <c r="B383" s="647" t="s">
        <v>1732</v>
      </c>
      <c r="C383" s="751"/>
      <c r="D383" s="632" t="s">
        <v>1396</v>
      </c>
      <c r="E383" s="649">
        <f>SUM(E384,E385,E386,E387,E388)</f>
        <v>1603191</v>
      </c>
      <c r="F383" s="649">
        <f>SUM(F384,F385,F386,F387,F388)</f>
        <v>1198215.4100000001</v>
      </c>
      <c r="G383" s="634">
        <f t="shared" si="14"/>
        <v>74.73940472470218</v>
      </c>
    </row>
    <row r="384" spans="1:7" s="650" customFormat="1" ht="27" customHeight="1" hidden="1">
      <c r="A384" s="636"/>
      <c r="B384" s="651"/>
      <c r="C384" s="687" t="s">
        <v>988</v>
      </c>
      <c r="D384" s="655" t="s">
        <v>436</v>
      </c>
      <c r="E384" s="653">
        <v>0</v>
      </c>
      <c r="F384" s="653">
        <v>0</v>
      </c>
      <c r="G384" s="641" t="e">
        <f t="shared" si="14"/>
        <v>#DIV/0!</v>
      </c>
    </row>
    <row r="385" spans="1:7" s="650" customFormat="1" ht="26.25" customHeight="1">
      <c r="A385" s="636"/>
      <c r="B385" s="651"/>
      <c r="C385" s="687" t="s">
        <v>435</v>
      </c>
      <c r="D385" s="655" t="s">
        <v>434</v>
      </c>
      <c r="E385" s="653">
        <v>6000</v>
      </c>
      <c r="F385" s="653">
        <v>80180.8</v>
      </c>
      <c r="G385" s="641">
        <f t="shared" si="14"/>
        <v>1336.3466666666668</v>
      </c>
    </row>
    <row r="386" spans="1:7" s="650" customFormat="1" ht="21" customHeight="1">
      <c r="A386" s="636"/>
      <c r="B386" s="651"/>
      <c r="C386" s="687" t="s">
        <v>989</v>
      </c>
      <c r="D386" s="639" t="s">
        <v>1157</v>
      </c>
      <c r="E386" s="653">
        <v>900000</v>
      </c>
      <c r="F386" s="653">
        <v>1117818.08</v>
      </c>
      <c r="G386" s="641">
        <f t="shared" si="14"/>
        <v>124.2020088888889</v>
      </c>
    </row>
    <row r="387" spans="1:7" s="650" customFormat="1" ht="20.25" customHeight="1">
      <c r="A387" s="636"/>
      <c r="B387" s="651"/>
      <c r="C387" s="687" t="s">
        <v>986</v>
      </c>
      <c r="D387" s="639" t="s">
        <v>1161</v>
      </c>
      <c r="E387" s="653">
        <v>0</v>
      </c>
      <c r="F387" s="653">
        <v>216.53</v>
      </c>
      <c r="G387" s="641" t="s">
        <v>1195</v>
      </c>
    </row>
    <row r="388" spans="1:7" s="650" customFormat="1" ht="20.25" customHeight="1">
      <c r="A388" s="636"/>
      <c r="B388" s="651"/>
      <c r="C388" s="783" t="s">
        <v>987</v>
      </c>
      <c r="D388" s="685" t="s">
        <v>1160</v>
      </c>
      <c r="E388" s="661">
        <v>697191</v>
      </c>
      <c r="F388" s="661">
        <v>0</v>
      </c>
      <c r="G388" s="641">
        <f t="shared" si="14"/>
        <v>0</v>
      </c>
    </row>
    <row r="389" spans="1:7" s="654" customFormat="1" ht="30.75" customHeight="1">
      <c r="A389" s="694"/>
      <c r="B389" s="695" t="s">
        <v>1552</v>
      </c>
      <c r="C389" s="696"/>
      <c r="D389" s="697" t="s">
        <v>1553</v>
      </c>
      <c r="E389" s="698">
        <f>E390</f>
        <v>16000</v>
      </c>
      <c r="F389" s="698">
        <f>F390</f>
        <v>5263.52</v>
      </c>
      <c r="G389" s="634">
        <f t="shared" si="14"/>
        <v>32.897000000000006</v>
      </c>
    </row>
    <row r="390" spans="1:7" s="654" customFormat="1" ht="22.5" customHeight="1">
      <c r="A390" s="679"/>
      <c r="B390" s="680"/>
      <c r="C390" s="681" t="s">
        <v>569</v>
      </c>
      <c r="D390" s="639" t="s">
        <v>1554</v>
      </c>
      <c r="E390" s="682">
        <v>16000</v>
      </c>
      <c r="F390" s="682">
        <v>5263.52</v>
      </c>
      <c r="G390" s="641">
        <f t="shared" si="14"/>
        <v>32.897000000000006</v>
      </c>
    </row>
    <row r="391" spans="1:7" s="650" customFormat="1" ht="20.25" customHeight="1">
      <c r="A391" s="752"/>
      <c r="B391" s="740" t="s">
        <v>95</v>
      </c>
      <c r="C391" s="740"/>
      <c r="D391" s="753" t="s">
        <v>215</v>
      </c>
      <c r="E391" s="698">
        <f>SUM(E392,E393,E394,E395,E396,E397,E398)</f>
        <v>1201326</v>
      </c>
      <c r="F391" s="698">
        <f>SUM(F392,F393,F394,F395,F396,F397,F398)</f>
        <v>1189725.29</v>
      </c>
      <c r="G391" s="665">
        <f t="shared" si="14"/>
        <v>99.034341219619</v>
      </c>
    </row>
    <row r="392" spans="1:7" s="650" customFormat="1" ht="27" customHeight="1">
      <c r="A392" s="636"/>
      <c r="B392" s="651"/>
      <c r="C392" s="1797" t="s">
        <v>988</v>
      </c>
      <c r="D392" s="1798" t="s">
        <v>436</v>
      </c>
      <c r="E392" s="1799">
        <v>0</v>
      </c>
      <c r="F392" s="1799">
        <v>1200</v>
      </c>
      <c r="G392" s="1800" t="s">
        <v>1195</v>
      </c>
    </row>
    <row r="393" spans="1:7" s="650" customFormat="1" ht="69.75" customHeight="1">
      <c r="A393" s="679"/>
      <c r="B393" s="680"/>
      <c r="C393" s="681" t="s">
        <v>990</v>
      </c>
      <c r="D393" s="639" t="s">
        <v>593</v>
      </c>
      <c r="E393" s="682">
        <v>2200</v>
      </c>
      <c r="F393" s="682">
        <v>2246.8</v>
      </c>
      <c r="G393" s="641">
        <f>F393/E393*100</f>
        <v>102.12727272727274</v>
      </c>
    </row>
    <row r="394" spans="1:7" s="654" customFormat="1" ht="21.75" customHeight="1">
      <c r="A394" s="679"/>
      <c r="B394" s="680"/>
      <c r="C394" s="681" t="s">
        <v>972</v>
      </c>
      <c r="D394" s="639" t="s">
        <v>971</v>
      </c>
      <c r="E394" s="682">
        <v>0</v>
      </c>
      <c r="F394" s="682">
        <v>1971.1</v>
      </c>
      <c r="G394" s="641" t="s">
        <v>1195</v>
      </c>
    </row>
    <row r="395" spans="1:7" s="654" customFormat="1" ht="18.75" customHeight="1">
      <c r="A395" s="679"/>
      <c r="B395" s="680"/>
      <c r="C395" s="680" t="s">
        <v>986</v>
      </c>
      <c r="D395" s="704" t="s">
        <v>1205</v>
      </c>
      <c r="E395" s="682">
        <v>0</v>
      </c>
      <c r="F395" s="682">
        <v>2.8</v>
      </c>
      <c r="G395" s="641" t="s">
        <v>1195</v>
      </c>
    </row>
    <row r="396" spans="1:7" s="654" customFormat="1" ht="21.75" customHeight="1">
      <c r="A396" s="679"/>
      <c r="B396" s="680"/>
      <c r="C396" s="680" t="s">
        <v>987</v>
      </c>
      <c r="D396" s="704" t="s">
        <v>1160</v>
      </c>
      <c r="E396" s="682">
        <v>200000</v>
      </c>
      <c r="F396" s="682">
        <v>177178.59</v>
      </c>
      <c r="G396" s="641">
        <f>F396/E396*100</f>
        <v>88.589295</v>
      </c>
    </row>
    <row r="397" spans="1:7" s="654" customFormat="1" ht="55.5" customHeight="1">
      <c r="A397" s="679"/>
      <c r="B397" s="680"/>
      <c r="C397" s="731" t="s">
        <v>1078</v>
      </c>
      <c r="D397" s="659" t="s">
        <v>1079</v>
      </c>
      <c r="E397" s="733">
        <v>0</v>
      </c>
      <c r="F397" s="733">
        <v>8000</v>
      </c>
      <c r="G397" s="662" t="s">
        <v>1195</v>
      </c>
    </row>
    <row r="398" spans="1:7" s="397" customFormat="1" ht="50.25" customHeight="1">
      <c r="A398" s="406"/>
      <c r="B398" s="407"/>
      <c r="C398" s="407" t="s">
        <v>424</v>
      </c>
      <c r="D398" s="398" t="s">
        <v>807</v>
      </c>
      <c r="E398" s="409">
        <v>999126</v>
      </c>
      <c r="F398" s="409">
        <v>999126</v>
      </c>
      <c r="G398" s="641">
        <f>F398/E398*100</f>
        <v>100</v>
      </c>
    </row>
    <row r="399" spans="1:7" s="397" customFormat="1" ht="75.75" customHeight="1">
      <c r="A399" s="406"/>
      <c r="B399" s="407"/>
      <c r="C399" s="407"/>
      <c r="D399" s="383" t="s">
        <v>808</v>
      </c>
      <c r="E399" s="409"/>
      <c r="F399" s="409"/>
      <c r="G399" s="385"/>
    </row>
    <row r="400" spans="1:7" s="646" customFormat="1" ht="27.75" customHeight="1">
      <c r="A400" s="699" t="s">
        <v>118</v>
      </c>
      <c r="B400" s="700"/>
      <c r="C400" s="700"/>
      <c r="D400" s="718" t="s">
        <v>1258</v>
      </c>
      <c r="E400" s="672">
        <f>SUM(E401,E404,E406,E409,E416)</f>
        <v>125000</v>
      </c>
      <c r="F400" s="672">
        <f>SUM(F401,F404,F406,F409,F416)</f>
        <v>252875.79</v>
      </c>
      <c r="G400" s="628">
        <f aca="true" t="shared" si="15" ref="G400:G405">F400/E400*100</f>
        <v>202.30063199999998</v>
      </c>
    </row>
    <row r="401" spans="1:7" s="650" customFormat="1" ht="21.75" customHeight="1" hidden="1">
      <c r="A401" s="694"/>
      <c r="B401" s="695" t="s">
        <v>1259</v>
      </c>
      <c r="C401" s="695"/>
      <c r="D401" s="703" t="s">
        <v>1260</v>
      </c>
      <c r="E401" s="698">
        <f>SUM(E402,E403)</f>
        <v>0</v>
      </c>
      <c r="F401" s="698">
        <f>SUM(F402,F403)</f>
        <v>0</v>
      </c>
      <c r="G401" s="641" t="e">
        <f t="shared" si="15"/>
        <v>#DIV/0!</v>
      </c>
    </row>
    <row r="402" spans="1:7" s="654" customFormat="1" ht="21.75" customHeight="1" hidden="1">
      <c r="A402" s="679"/>
      <c r="B402" s="680"/>
      <c r="C402" s="680" t="s">
        <v>987</v>
      </c>
      <c r="D402" s="704" t="s">
        <v>1160</v>
      </c>
      <c r="E402" s="682">
        <v>0</v>
      </c>
      <c r="F402" s="682">
        <v>0</v>
      </c>
      <c r="G402" s="641" t="e">
        <f t="shared" si="15"/>
        <v>#DIV/0!</v>
      </c>
    </row>
    <row r="403" spans="1:7" s="654" customFormat="1" ht="69.75" customHeight="1" hidden="1">
      <c r="A403" s="679"/>
      <c r="B403" s="680"/>
      <c r="C403" s="680" t="s">
        <v>1567</v>
      </c>
      <c r="D403" s="639" t="s">
        <v>822</v>
      </c>
      <c r="E403" s="682">
        <v>0</v>
      </c>
      <c r="F403" s="682">
        <v>0</v>
      </c>
      <c r="G403" s="641" t="e">
        <f t="shared" si="15"/>
        <v>#DIV/0!</v>
      </c>
    </row>
    <row r="404" spans="1:7" s="654" customFormat="1" ht="27.75" customHeight="1">
      <c r="A404" s="679"/>
      <c r="B404" s="714" t="s">
        <v>1261</v>
      </c>
      <c r="C404" s="714"/>
      <c r="D404" s="1801" t="s">
        <v>1262</v>
      </c>
      <c r="E404" s="715">
        <f>SUM(E405)</f>
        <v>125000</v>
      </c>
      <c r="F404" s="715">
        <f>SUM(F405)</f>
        <v>125000</v>
      </c>
      <c r="G404" s="662">
        <f t="shared" si="15"/>
        <v>100</v>
      </c>
    </row>
    <row r="405" spans="1:7" s="654" customFormat="1" ht="55.5" customHeight="1">
      <c r="A405" s="679"/>
      <c r="B405" s="731"/>
      <c r="C405" s="731" t="s">
        <v>475</v>
      </c>
      <c r="D405" s="659" t="s">
        <v>1080</v>
      </c>
      <c r="E405" s="733">
        <v>125000</v>
      </c>
      <c r="F405" s="733">
        <v>125000</v>
      </c>
      <c r="G405" s="662">
        <f t="shared" si="15"/>
        <v>100</v>
      </c>
    </row>
    <row r="406" spans="1:7" s="654" customFormat="1" ht="24.75" customHeight="1">
      <c r="A406" s="679"/>
      <c r="B406" s="714" t="s">
        <v>1263</v>
      </c>
      <c r="C406" s="714"/>
      <c r="D406" s="1801" t="s">
        <v>1264</v>
      </c>
      <c r="E406" s="715">
        <f>SUM(E407,E408)</f>
        <v>0</v>
      </c>
      <c r="F406" s="715">
        <f>SUM(F407,F408)</f>
        <v>13609.92</v>
      </c>
      <c r="G406" s="662" t="s">
        <v>1195</v>
      </c>
    </row>
    <row r="407" spans="1:7" s="654" customFormat="1" ht="67.5" customHeight="1">
      <c r="A407" s="679"/>
      <c r="B407" s="731"/>
      <c r="C407" s="731" t="s">
        <v>543</v>
      </c>
      <c r="D407" s="744" t="s">
        <v>544</v>
      </c>
      <c r="E407" s="733">
        <v>0</v>
      </c>
      <c r="F407" s="733">
        <v>1299.61</v>
      </c>
      <c r="G407" s="662" t="s">
        <v>1195</v>
      </c>
    </row>
    <row r="408" spans="1:7" s="654" customFormat="1" ht="71.25" customHeight="1">
      <c r="A408" s="679"/>
      <c r="B408" s="731"/>
      <c r="C408" s="731" t="s">
        <v>1567</v>
      </c>
      <c r="D408" s="659" t="s">
        <v>822</v>
      </c>
      <c r="E408" s="733">
        <v>0</v>
      </c>
      <c r="F408" s="733">
        <v>12310.31</v>
      </c>
      <c r="G408" s="662" t="s">
        <v>1195</v>
      </c>
    </row>
    <row r="409" spans="1:7" s="650" customFormat="1" ht="21.75" customHeight="1">
      <c r="A409" s="694"/>
      <c r="B409" s="695" t="s">
        <v>783</v>
      </c>
      <c r="C409" s="695"/>
      <c r="D409" s="703" t="s">
        <v>784</v>
      </c>
      <c r="E409" s="698">
        <f>SUM(E410,E411,E412,E414)</f>
        <v>0</v>
      </c>
      <c r="F409" s="698">
        <f>SUM(F410,F411,F412,F414)</f>
        <v>114157.14</v>
      </c>
      <c r="G409" s="641" t="s">
        <v>1195</v>
      </c>
    </row>
    <row r="410" spans="1:7" s="654" customFormat="1" ht="30.75" customHeight="1" hidden="1">
      <c r="A410" s="679"/>
      <c r="B410" s="680"/>
      <c r="C410" s="681" t="s">
        <v>988</v>
      </c>
      <c r="D410" s="639" t="s">
        <v>436</v>
      </c>
      <c r="E410" s="682"/>
      <c r="F410" s="682"/>
      <c r="G410" s="641" t="e">
        <f>F410/E410*100</f>
        <v>#DIV/0!</v>
      </c>
    </row>
    <row r="411" spans="1:7" s="654" customFormat="1" ht="29.25" customHeight="1" hidden="1">
      <c r="A411" s="679"/>
      <c r="B411" s="680"/>
      <c r="C411" s="681" t="s">
        <v>435</v>
      </c>
      <c r="D411" s="655" t="s">
        <v>434</v>
      </c>
      <c r="E411" s="682"/>
      <c r="F411" s="682"/>
      <c r="G411" s="641" t="e">
        <f>F411/E411*100</f>
        <v>#DIV/0!</v>
      </c>
    </row>
    <row r="412" spans="1:7" s="654" customFormat="1" ht="67.5" customHeight="1" hidden="1">
      <c r="A412" s="722"/>
      <c r="B412" s="723"/>
      <c r="C412" s="680" t="s">
        <v>345</v>
      </c>
      <c r="D412" s="692" t="s">
        <v>347</v>
      </c>
      <c r="E412" s="682">
        <v>0</v>
      </c>
      <c r="F412" s="682">
        <v>0</v>
      </c>
      <c r="G412" s="641" t="s">
        <v>1195</v>
      </c>
    </row>
    <row r="413" spans="1:7" s="654" customFormat="1" ht="27" customHeight="1" hidden="1">
      <c r="A413" s="679"/>
      <c r="B413" s="680"/>
      <c r="C413" s="681"/>
      <c r="D413" s="639" t="s">
        <v>111</v>
      </c>
      <c r="E413" s="682"/>
      <c r="F413" s="682"/>
      <c r="G413" s="641"/>
    </row>
    <row r="414" spans="1:7" s="650" customFormat="1" ht="71.25" customHeight="1">
      <c r="A414" s="679"/>
      <c r="B414" s="680"/>
      <c r="C414" s="681" t="s">
        <v>345</v>
      </c>
      <c r="D414" s="692" t="s">
        <v>347</v>
      </c>
      <c r="E414" s="682">
        <v>0</v>
      </c>
      <c r="F414" s="682">
        <v>114157.14</v>
      </c>
      <c r="G414" s="641" t="s">
        <v>1195</v>
      </c>
    </row>
    <row r="415" spans="1:7" s="650" customFormat="1" ht="29.25" customHeight="1">
      <c r="A415" s="679"/>
      <c r="B415" s="680"/>
      <c r="C415" s="681"/>
      <c r="D415" s="639" t="s">
        <v>111</v>
      </c>
      <c r="E415" s="682"/>
      <c r="F415" s="682"/>
      <c r="G415" s="641"/>
    </row>
    <row r="416" spans="1:7" s="650" customFormat="1" ht="21.75" customHeight="1">
      <c r="A416" s="694"/>
      <c r="B416" s="695" t="s">
        <v>1265</v>
      </c>
      <c r="C416" s="695"/>
      <c r="D416" s="703" t="s">
        <v>215</v>
      </c>
      <c r="E416" s="698">
        <f>SUM(E417,E418,E419,E420,E421)</f>
        <v>0</v>
      </c>
      <c r="F416" s="698">
        <f>SUM(F417,F418,F419,F420,F421)</f>
        <v>108.73</v>
      </c>
      <c r="G416" s="641" t="s">
        <v>1195</v>
      </c>
    </row>
    <row r="417" spans="1:7" s="757" customFormat="1" ht="21.75" customHeight="1">
      <c r="A417" s="755"/>
      <c r="B417" s="756"/>
      <c r="C417" s="1778" t="s">
        <v>986</v>
      </c>
      <c r="D417" s="1802" t="s">
        <v>1205</v>
      </c>
      <c r="E417" s="1780">
        <v>0</v>
      </c>
      <c r="F417" s="1780">
        <v>8.73</v>
      </c>
      <c r="G417" s="1777" t="s">
        <v>1195</v>
      </c>
    </row>
    <row r="418" spans="1:7" s="757" customFormat="1" ht="27.75" customHeight="1">
      <c r="A418" s="755"/>
      <c r="B418" s="756"/>
      <c r="C418" s="1778" t="s">
        <v>349</v>
      </c>
      <c r="D418" s="1776" t="s">
        <v>350</v>
      </c>
      <c r="E418" s="1780">
        <v>0</v>
      </c>
      <c r="F418" s="1780">
        <v>100</v>
      </c>
      <c r="G418" s="1777" t="s">
        <v>1195</v>
      </c>
    </row>
    <row r="419" spans="1:7" s="397" customFormat="1" ht="22.5" customHeight="1" hidden="1">
      <c r="A419" s="406"/>
      <c r="B419" s="407"/>
      <c r="C419" s="407" t="s">
        <v>987</v>
      </c>
      <c r="D419" s="424" t="s">
        <v>1160</v>
      </c>
      <c r="E419" s="409"/>
      <c r="F419" s="409"/>
      <c r="G419" s="385" t="e">
        <f>F419/E419*100</f>
        <v>#DIV/0!</v>
      </c>
    </row>
    <row r="420" spans="1:7" s="397" customFormat="1" ht="54.75" customHeight="1" hidden="1">
      <c r="A420" s="406"/>
      <c r="B420" s="407"/>
      <c r="C420" s="407" t="s">
        <v>1615</v>
      </c>
      <c r="D420" s="398" t="s">
        <v>1193</v>
      </c>
      <c r="E420" s="409">
        <v>0</v>
      </c>
      <c r="F420" s="409">
        <v>0</v>
      </c>
      <c r="G420" s="385" t="s">
        <v>1195</v>
      </c>
    </row>
    <row r="421" spans="1:7" s="397" customFormat="1" ht="66" customHeight="1" hidden="1">
      <c r="A421" s="406"/>
      <c r="B421" s="407"/>
      <c r="C421" s="407" t="s">
        <v>474</v>
      </c>
      <c r="D421" s="383" t="s">
        <v>959</v>
      </c>
      <c r="E421" s="409">
        <v>0</v>
      </c>
      <c r="F421" s="409">
        <v>0</v>
      </c>
      <c r="G421" s="385" t="e">
        <f>F421/E421*100</f>
        <v>#DIV/0!</v>
      </c>
    </row>
    <row r="422" spans="1:7" s="650" customFormat="1" ht="21" customHeight="1">
      <c r="A422" s="699" t="s">
        <v>119</v>
      </c>
      <c r="B422" s="700"/>
      <c r="C422" s="750"/>
      <c r="D422" s="718" t="s">
        <v>106</v>
      </c>
      <c r="E422" s="672">
        <f>SUM(E423,E432,E436)</f>
        <v>0</v>
      </c>
      <c r="F422" s="672">
        <f>SUM(F423,F432,F436)</f>
        <v>11416.47</v>
      </c>
      <c r="G422" s="634" t="s">
        <v>1195</v>
      </c>
    </row>
    <row r="423" spans="1:9" s="654" customFormat="1" ht="18" customHeight="1">
      <c r="A423" s="694"/>
      <c r="B423" s="695" t="s">
        <v>122</v>
      </c>
      <c r="C423" s="712"/>
      <c r="D423" s="697" t="s">
        <v>123</v>
      </c>
      <c r="E423" s="698">
        <f>SUM(E424,E425,E426,E427,E428,E430,E431)</f>
        <v>0</v>
      </c>
      <c r="F423" s="698">
        <f>SUM(F424,F425,F426,F427,F428,F430,F431)</f>
        <v>176.4</v>
      </c>
      <c r="G423" s="634" t="s">
        <v>1195</v>
      </c>
      <c r="I423" s="634" t="e">
        <f>H423/G423*100</f>
        <v>#VALUE!</v>
      </c>
    </row>
    <row r="424" spans="1:7" s="654" customFormat="1" ht="30.75" customHeight="1">
      <c r="A424" s="679"/>
      <c r="B424" s="680"/>
      <c r="C424" s="1803" t="s">
        <v>988</v>
      </c>
      <c r="D424" s="1804" t="s">
        <v>436</v>
      </c>
      <c r="E424" s="1805">
        <v>0</v>
      </c>
      <c r="F424" s="1805">
        <v>176.4</v>
      </c>
      <c r="G424" s="1785" t="s">
        <v>1195</v>
      </c>
    </row>
    <row r="425" spans="1:7" s="654" customFormat="1" ht="29.25" customHeight="1" hidden="1">
      <c r="A425" s="679"/>
      <c r="B425" s="680"/>
      <c r="C425" s="681" t="s">
        <v>435</v>
      </c>
      <c r="D425" s="655" t="s">
        <v>434</v>
      </c>
      <c r="E425" s="682">
        <v>0</v>
      </c>
      <c r="F425" s="682">
        <v>0</v>
      </c>
      <c r="G425" s="641" t="e">
        <f>F425/E425*100</f>
        <v>#DIV/0!</v>
      </c>
    </row>
    <row r="426" spans="1:7" s="654" customFormat="1" ht="21.75" customHeight="1" hidden="1">
      <c r="A426" s="758"/>
      <c r="B426" s="759"/>
      <c r="C426" s="759" t="s">
        <v>987</v>
      </c>
      <c r="D426" s="760" t="s">
        <v>1160</v>
      </c>
      <c r="E426" s="761">
        <v>0</v>
      </c>
      <c r="F426" s="761">
        <v>0</v>
      </c>
      <c r="G426" s="634" t="e">
        <f>F426/E426*100</f>
        <v>#DIV/0!</v>
      </c>
    </row>
    <row r="427" spans="1:7" s="389" customFormat="1" ht="52.5" customHeight="1" hidden="1">
      <c r="A427" s="414"/>
      <c r="B427" s="415"/>
      <c r="C427" s="407" t="s">
        <v>474</v>
      </c>
      <c r="D427" s="383" t="s">
        <v>478</v>
      </c>
      <c r="E427" s="409">
        <v>0</v>
      </c>
      <c r="F427" s="409"/>
      <c r="G427" s="385" t="e">
        <f>F427/E427*100</f>
        <v>#DIV/0!</v>
      </c>
    </row>
    <row r="428" spans="1:7" ht="53.25" customHeight="1" hidden="1">
      <c r="A428" s="406"/>
      <c r="B428" s="407"/>
      <c r="C428" s="408" t="s">
        <v>424</v>
      </c>
      <c r="D428" s="398" t="s">
        <v>807</v>
      </c>
      <c r="E428" s="409">
        <v>0</v>
      </c>
      <c r="F428" s="409">
        <v>0</v>
      </c>
      <c r="G428" s="385" t="e">
        <f>F428/E428*100</f>
        <v>#DIV/0!</v>
      </c>
    </row>
    <row r="429" spans="1:7" ht="66" customHeight="1" hidden="1">
      <c r="A429" s="406"/>
      <c r="B429" s="407"/>
      <c r="C429" s="408"/>
      <c r="D429" s="383" t="s">
        <v>808</v>
      </c>
      <c r="E429" s="409"/>
      <c r="F429" s="409"/>
      <c r="G429" s="385"/>
    </row>
    <row r="430" spans="1:7" s="389" customFormat="1" ht="54" customHeight="1" hidden="1">
      <c r="A430" s="414"/>
      <c r="B430" s="415"/>
      <c r="C430" s="407" t="s">
        <v>475</v>
      </c>
      <c r="D430" s="383" t="s">
        <v>1242</v>
      </c>
      <c r="E430" s="409">
        <v>0</v>
      </c>
      <c r="F430" s="409">
        <v>0</v>
      </c>
      <c r="G430" s="385" t="e">
        <f>F430/E430*100</f>
        <v>#DIV/0!</v>
      </c>
    </row>
    <row r="431" spans="1:7" s="442" customFormat="1" ht="42" customHeight="1" hidden="1">
      <c r="A431" s="427"/>
      <c r="B431" s="428"/>
      <c r="C431" s="434" t="s">
        <v>565</v>
      </c>
      <c r="D431" s="435" t="s">
        <v>603</v>
      </c>
      <c r="E431" s="429">
        <v>0</v>
      </c>
      <c r="F431" s="429">
        <v>0</v>
      </c>
      <c r="G431" s="403" t="e">
        <f>F431/E431*100</f>
        <v>#DIV/0!</v>
      </c>
    </row>
    <row r="432" spans="1:7" ht="19.5" customHeight="1">
      <c r="A432" s="414"/>
      <c r="B432" s="441" t="s">
        <v>124</v>
      </c>
      <c r="C432" s="448"/>
      <c r="D432" s="449" t="s">
        <v>110</v>
      </c>
      <c r="E432" s="402">
        <f>SUM(E433:E435)</f>
        <v>0</v>
      </c>
      <c r="F432" s="402">
        <f>SUM(F433:F435)</f>
        <v>11240.07</v>
      </c>
      <c r="G432" s="366" t="s">
        <v>1195</v>
      </c>
    </row>
    <row r="433" spans="1:7" ht="66" customHeight="1">
      <c r="A433" s="414"/>
      <c r="B433" s="441"/>
      <c r="C433" s="731" t="s">
        <v>543</v>
      </c>
      <c r="D433" s="744" t="s">
        <v>544</v>
      </c>
      <c r="E433" s="733">
        <v>0</v>
      </c>
      <c r="F433" s="733">
        <v>2240.07</v>
      </c>
      <c r="G433" s="662" t="s">
        <v>1195</v>
      </c>
    </row>
    <row r="434" spans="1:7" s="397" customFormat="1" ht="22.5" customHeight="1" hidden="1">
      <c r="A434" s="445"/>
      <c r="B434" s="446"/>
      <c r="C434" s="446" t="s">
        <v>987</v>
      </c>
      <c r="D434" s="447" t="s">
        <v>1160</v>
      </c>
      <c r="E434" s="453">
        <v>0</v>
      </c>
      <c r="F434" s="453">
        <v>0</v>
      </c>
      <c r="G434" s="454" t="s">
        <v>1195</v>
      </c>
    </row>
    <row r="435" spans="1:7" ht="64.5" customHeight="1">
      <c r="A435" s="445"/>
      <c r="B435" s="450"/>
      <c r="C435" s="451" t="s">
        <v>1567</v>
      </c>
      <c r="D435" s="452" t="s">
        <v>439</v>
      </c>
      <c r="E435" s="453">
        <v>0</v>
      </c>
      <c r="F435" s="453">
        <v>9000</v>
      </c>
      <c r="G435" s="454" t="s">
        <v>1195</v>
      </c>
    </row>
    <row r="436" spans="1:7" ht="21.75" customHeight="1" hidden="1">
      <c r="A436" s="414"/>
      <c r="B436" s="441" t="s">
        <v>476</v>
      </c>
      <c r="C436" s="448"/>
      <c r="D436" s="449" t="s">
        <v>215</v>
      </c>
      <c r="E436" s="402">
        <f>SUM(E437)</f>
        <v>0</v>
      </c>
      <c r="F436" s="402">
        <f>SUM(F437)</f>
        <v>0</v>
      </c>
      <c r="G436" s="366" t="e">
        <f>F436/E436*100</f>
        <v>#DIV/0!</v>
      </c>
    </row>
    <row r="437" spans="1:7" ht="44.25" customHeight="1" hidden="1">
      <c r="A437" s="445"/>
      <c r="B437" s="450"/>
      <c r="C437" s="451" t="s">
        <v>477</v>
      </c>
      <c r="D437" s="455" t="s">
        <v>1244</v>
      </c>
      <c r="E437" s="453">
        <v>0</v>
      </c>
      <c r="F437" s="453"/>
      <c r="G437" s="454" t="e">
        <f>F437/E437*100</f>
        <v>#DIV/0!</v>
      </c>
    </row>
    <row r="438" spans="1:7" s="764" customFormat="1" ht="19.5" customHeight="1">
      <c r="A438" s="1995" t="s">
        <v>1159</v>
      </c>
      <c r="B438" s="1996"/>
      <c r="C438" s="1996"/>
      <c r="D438" s="1997"/>
      <c r="E438" s="104">
        <f>SUM(E439,E442,E467,E471,E486,E498,E506,E515,E543,E550,E527,E574,E592,E607)</f>
        <v>66904915.99</v>
      </c>
      <c r="F438" s="312">
        <f>SUM(F439,F442,F467,F471,F486,F498,F506,F515,F543,F550,F527,F574,F592,F607)</f>
        <v>67356324.65</v>
      </c>
      <c r="G438" s="803">
        <f aca="true" t="shared" si="16" ref="G438:G464">F438/E438*100</f>
        <v>100.67470178135711</v>
      </c>
    </row>
    <row r="439" spans="1:7" s="765" customFormat="1" ht="16.5" customHeight="1" hidden="1">
      <c r="A439" s="624" t="s">
        <v>214</v>
      </c>
      <c r="B439" s="625"/>
      <c r="C439" s="625"/>
      <c r="D439" s="626" t="s">
        <v>1696</v>
      </c>
      <c r="E439" s="627">
        <f>SUM(E440)</f>
        <v>0</v>
      </c>
      <c r="F439" s="627">
        <f>SUM(F440)</f>
        <v>0</v>
      </c>
      <c r="G439" s="628" t="e">
        <f t="shared" si="16"/>
        <v>#DIV/0!</v>
      </c>
    </row>
    <row r="440" spans="1:7" s="767" customFormat="1" ht="30.75" customHeight="1" hidden="1">
      <c r="A440" s="630"/>
      <c r="B440" s="631" t="s">
        <v>342</v>
      </c>
      <c r="C440" s="631"/>
      <c r="D440" s="766" t="s">
        <v>344</v>
      </c>
      <c r="E440" s="633">
        <f>SUM(E441)</f>
        <v>0</v>
      </c>
      <c r="F440" s="633">
        <f>SUM(F441)</f>
        <v>0</v>
      </c>
      <c r="G440" s="634" t="e">
        <f t="shared" si="16"/>
        <v>#DIV/0!</v>
      </c>
    </row>
    <row r="441" spans="1:7" s="767" customFormat="1" ht="59.25" customHeight="1" hidden="1">
      <c r="A441" s="636"/>
      <c r="B441" s="637"/>
      <c r="C441" s="637" t="s">
        <v>343</v>
      </c>
      <c r="D441" s="655" t="s">
        <v>1087</v>
      </c>
      <c r="E441" s="640">
        <v>0</v>
      </c>
      <c r="F441" s="640">
        <v>0</v>
      </c>
      <c r="G441" s="641" t="e">
        <f t="shared" si="16"/>
        <v>#DIV/0!</v>
      </c>
    </row>
    <row r="442" spans="1:7" s="768" customFormat="1" ht="21.75" customHeight="1">
      <c r="A442" s="624" t="s">
        <v>310</v>
      </c>
      <c r="B442" s="643"/>
      <c r="C442" s="643"/>
      <c r="D442" s="670" t="s">
        <v>311</v>
      </c>
      <c r="E442" s="645">
        <f>SUM(E443,E448)</f>
        <v>2049232</v>
      </c>
      <c r="F442" s="2191">
        <f>SUM(F443,F448)</f>
        <v>2619014.25</v>
      </c>
      <c r="G442" s="628">
        <f t="shared" si="16"/>
        <v>127.80467267737376</v>
      </c>
    </row>
    <row r="443" spans="1:7" s="767" customFormat="1" ht="19.5" customHeight="1" hidden="1">
      <c r="A443" s="630"/>
      <c r="B443" s="647" t="s">
        <v>948</v>
      </c>
      <c r="C443" s="647"/>
      <c r="D443" s="632" t="s">
        <v>425</v>
      </c>
      <c r="E443" s="649">
        <f>SUM(E444,E446)</f>
        <v>0</v>
      </c>
      <c r="F443" s="2192">
        <f>SUM(F444,F446)</f>
        <v>0</v>
      </c>
      <c r="G443" s="641" t="s">
        <v>1195</v>
      </c>
    </row>
    <row r="444" spans="1:7" s="654" customFormat="1" ht="29.25" customHeight="1" hidden="1">
      <c r="A444" s="679"/>
      <c r="B444" s="680"/>
      <c r="C444" s="681" t="s">
        <v>435</v>
      </c>
      <c r="D444" s="655" t="s">
        <v>434</v>
      </c>
      <c r="E444" s="682">
        <v>0</v>
      </c>
      <c r="F444" s="2193">
        <v>0</v>
      </c>
      <c r="G444" s="641" t="s">
        <v>1195</v>
      </c>
    </row>
    <row r="445" spans="1:7" s="693" customFormat="1" ht="30" customHeight="1" hidden="1">
      <c r="A445" s="636"/>
      <c r="B445" s="651"/>
      <c r="C445" s="651"/>
      <c r="D445" s="655"/>
      <c r="E445" s="653"/>
      <c r="F445" s="2193"/>
      <c r="G445" s="641"/>
    </row>
    <row r="446" spans="1:7" s="693" customFormat="1" ht="54" customHeight="1" hidden="1">
      <c r="A446" s="636"/>
      <c r="B446" s="651"/>
      <c r="C446" s="651" t="s">
        <v>424</v>
      </c>
      <c r="D446" s="655" t="s">
        <v>947</v>
      </c>
      <c r="E446" s="653">
        <v>0</v>
      </c>
      <c r="F446" s="2193">
        <v>0</v>
      </c>
      <c r="G446" s="634" t="e">
        <f t="shared" si="16"/>
        <v>#DIV/0!</v>
      </c>
    </row>
    <row r="447" spans="1:7" s="693" customFormat="1" ht="65.25" customHeight="1" hidden="1">
      <c r="A447" s="636"/>
      <c r="B447" s="651"/>
      <c r="C447" s="651"/>
      <c r="D447" s="655" t="s">
        <v>1398</v>
      </c>
      <c r="E447" s="653"/>
      <c r="F447" s="2193"/>
      <c r="G447" s="634" t="e">
        <f t="shared" si="16"/>
        <v>#DIV/0!</v>
      </c>
    </row>
    <row r="448" spans="1:7" s="767" customFormat="1" ht="39" customHeight="1">
      <c r="A448" s="630"/>
      <c r="B448" s="647" t="s">
        <v>312</v>
      </c>
      <c r="C448" s="647"/>
      <c r="D448" s="632" t="s">
        <v>555</v>
      </c>
      <c r="E448" s="649">
        <f>SUM(E449,E450,E451,E452,E453,E454,E455,E456,E457,E458,E459,E461,E462,E464,E466)</f>
        <v>2049232</v>
      </c>
      <c r="F448" s="2192">
        <f>SUM(F449,F450,F451,F452,F453,F454,F455,F456,F457,F458,F459,F461,F462,F464,F466)</f>
        <v>2619014.25</v>
      </c>
      <c r="G448" s="634">
        <f t="shared" si="16"/>
        <v>127.80467267737376</v>
      </c>
    </row>
    <row r="449" spans="1:7" s="693" customFormat="1" ht="27" customHeight="1" hidden="1">
      <c r="A449" s="636"/>
      <c r="B449" s="651"/>
      <c r="C449" s="651" t="s">
        <v>988</v>
      </c>
      <c r="D449" s="655" t="s">
        <v>436</v>
      </c>
      <c r="E449" s="653">
        <v>0</v>
      </c>
      <c r="F449" s="653">
        <v>0</v>
      </c>
      <c r="G449" s="641" t="s">
        <v>1195</v>
      </c>
    </row>
    <row r="450" spans="1:7" s="693" customFormat="1" ht="27.75" customHeight="1">
      <c r="A450" s="636"/>
      <c r="B450" s="651"/>
      <c r="C450" s="651" t="s">
        <v>435</v>
      </c>
      <c r="D450" s="655" t="s">
        <v>434</v>
      </c>
      <c r="E450" s="653">
        <v>0</v>
      </c>
      <c r="F450" s="653">
        <v>307981</v>
      </c>
      <c r="G450" s="641" t="s">
        <v>1195</v>
      </c>
    </row>
    <row r="451" spans="1:7" s="693" customFormat="1" ht="27.75" customHeight="1" hidden="1">
      <c r="A451" s="636"/>
      <c r="B451" s="651"/>
      <c r="C451" s="651" t="s">
        <v>989</v>
      </c>
      <c r="D451" s="655" t="s">
        <v>1157</v>
      </c>
      <c r="E451" s="653">
        <v>0</v>
      </c>
      <c r="F451" s="653">
        <v>0</v>
      </c>
      <c r="G451" s="641" t="e">
        <f t="shared" si="16"/>
        <v>#DIV/0!</v>
      </c>
    </row>
    <row r="452" spans="1:7" s="693" customFormat="1" ht="70.5" customHeight="1">
      <c r="A452" s="636"/>
      <c r="B452" s="651"/>
      <c r="C452" s="651" t="s">
        <v>990</v>
      </c>
      <c r="D452" s="639" t="s">
        <v>593</v>
      </c>
      <c r="E452" s="653">
        <v>315500</v>
      </c>
      <c r="F452" s="653">
        <v>348259.42</v>
      </c>
      <c r="G452" s="641">
        <f t="shared" si="16"/>
        <v>110.38333438985737</v>
      </c>
    </row>
    <row r="453" spans="1:7" s="693" customFormat="1" ht="27.75" customHeight="1">
      <c r="A453" s="636"/>
      <c r="B453" s="651"/>
      <c r="C453" s="651" t="s">
        <v>985</v>
      </c>
      <c r="D453" s="655" t="s">
        <v>1207</v>
      </c>
      <c r="E453" s="653">
        <v>140000</v>
      </c>
      <c r="F453" s="653">
        <v>153988.8</v>
      </c>
      <c r="G453" s="641">
        <f t="shared" si="16"/>
        <v>109.992</v>
      </c>
    </row>
    <row r="454" spans="1:7" s="413" customFormat="1" ht="27.75" customHeight="1" hidden="1">
      <c r="A454" s="381"/>
      <c r="B454" s="394"/>
      <c r="C454" s="394" t="s">
        <v>353</v>
      </c>
      <c r="D454" s="398" t="s">
        <v>958</v>
      </c>
      <c r="E454" s="396">
        <v>0</v>
      </c>
      <c r="F454" s="396">
        <v>0</v>
      </c>
      <c r="G454" s="385" t="e">
        <f t="shared" si="16"/>
        <v>#DIV/0!</v>
      </c>
    </row>
    <row r="455" spans="1:7" s="693" customFormat="1" ht="27.75" customHeight="1">
      <c r="A455" s="636"/>
      <c r="B455" s="651"/>
      <c r="C455" s="651" t="s">
        <v>972</v>
      </c>
      <c r="D455" s="655" t="s">
        <v>971</v>
      </c>
      <c r="E455" s="653">
        <v>4000</v>
      </c>
      <c r="F455" s="653">
        <v>8770</v>
      </c>
      <c r="G455" s="641">
        <f t="shared" si="16"/>
        <v>219.25</v>
      </c>
    </row>
    <row r="456" spans="1:7" s="693" customFormat="1" ht="18.75" customHeight="1">
      <c r="A456" s="636"/>
      <c r="B456" s="651"/>
      <c r="C456" s="680" t="s">
        <v>986</v>
      </c>
      <c r="D456" s="704" t="s">
        <v>1205</v>
      </c>
      <c r="E456" s="653">
        <v>500</v>
      </c>
      <c r="F456" s="2193">
        <f>2712.54+23.25</f>
        <v>2735.79</v>
      </c>
      <c r="G456" s="676">
        <f t="shared" si="16"/>
        <v>547.158</v>
      </c>
    </row>
    <row r="457" spans="1:7" s="693" customFormat="1" ht="18" customHeight="1">
      <c r="A457" s="636"/>
      <c r="B457" s="651"/>
      <c r="C457" s="651" t="s">
        <v>987</v>
      </c>
      <c r="D457" s="655" t="s">
        <v>1160</v>
      </c>
      <c r="E457" s="653">
        <v>0</v>
      </c>
      <c r="F457" s="653">
        <v>14776.06</v>
      </c>
      <c r="G457" s="676" t="s">
        <v>1195</v>
      </c>
    </row>
    <row r="458" spans="1:7" s="413" customFormat="1" ht="41.25" customHeight="1" hidden="1">
      <c r="A458" s="381"/>
      <c r="B458" s="394"/>
      <c r="C458" s="394" t="s">
        <v>295</v>
      </c>
      <c r="D458" s="398" t="s">
        <v>1735</v>
      </c>
      <c r="E458" s="396">
        <v>0</v>
      </c>
      <c r="F458" s="396">
        <v>0</v>
      </c>
      <c r="G458" s="403" t="s">
        <v>1195</v>
      </c>
    </row>
    <row r="459" spans="1:7" s="693" customFormat="1" ht="65.25" customHeight="1">
      <c r="A459" s="636"/>
      <c r="B459" s="651"/>
      <c r="C459" s="651" t="s">
        <v>345</v>
      </c>
      <c r="D459" s="692" t="s">
        <v>347</v>
      </c>
      <c r="E459" s="653">
        <v>1460207</v>
      </c>
      <c r="F459" s="653">
        <v>1460207.1</v>
      </c>
      <c r="G459" s="676">
        <f t="shared" si="16"/>
        <v>100.00000684834411</v>
      </c>
    </row>
    <row r="460" spans="1:7" s="693" customFormat="1" ht="26.25" customHeight="1">
      <c r="A460" s="636"/>
      <c r="B460" s="651"/>
      <c r="C460" s="651"/>
      <c r="D460" s="639" t="s">
        <v>111</v>
      </c>
      <c r="E460" s="653"/>
      <c r="F460" s="653"/>
      <c r="G460" s="676"/>
    </row>
    <row r="461" spans="1:7" s="693" customFormat="1" ht="51" customHeight="1">
      <c r="A461" s="636"/>
      <c r="B461" s="651"/>
      <c r="C461" s="651" t="s">
        <v>570</v>
      </c>
      <c r="D461" s="655" t="s">
        <v>807</v>
      </c>
      <c r="E461" s="640">
        <v>0</v>
      </c>
      <c r="F461" s="640">
        <v>194721.54</v>
      </c>
      <c r="G461" s="676" t="s">
        <v>1195</v>
      </c>
    </row>
    <row r="462" spans="1:7" s="693" customFormat="1" ht="51" customHeight="1" hidden="1">
      <c r="A462" s="636"/>
      <c r="B462" s="677"/>
      <c r="C462" s="651" t="s">
        <v>424</v>
      </c>
      <c r="D462" s="655" t="s">
        <v>807</v>
      </c>
      <c r="E462" s="640">
        <v>0</v>
      </c>
      <c r="F462" s="640">
        <v>0</v>
      </c>
      <c r="G462" s="676" t="e">
        <f t="shared" si="16"/>
        <v>#DIV/0!</v>
      </c>
    </row>
    <row r="463" spans="1:7" s="693" customFormat="1" ht="79.5" customHeight="1" hidden="1">
      <c r="A463" s="636"/>
      <c r="B463" s="677"/>
      <c r="C463" s="651"/>
      <c r="D463" s="639" t="s">
        <v>808</v>
      </c>
      <c r="E463" s="640"/>
      <c r="F463" s="640"/>
      <c r="G463" s="676"/>
    </row>
    <row r="464" spans="1:7" s="413" customFormat="1" ht="57" customHeight="1" hidden="1">
      <c r="A464" s="381"/>
      <c r="B464" s="404"/>
      <c r="C464" s="394" t="s">
        <v>925</v>
      </c>
      <c r="D464" s="398" t="s">
        <v>1443</v>
      </c>
      <c r="E464" s="384">
        <v>0</v>
      </c>
      <c r="F464" s="384"/>
      <c r="G464" s="403" t="e">
        <f t="shared" si="16"/>
        <v>#DIV/0!</v>
      </c>
    </row>
    <row r="465" spans="1:7" s="413" customFormat="1" ht="30" customHeight="1" hidden="1">
      <c r="A465" s="381"/>
      <c r="B465" s="404"/>
      <c r="C465" s="394"/>
      <c r="D465" s="398" t="s">
        <v>1444</v>
      </c>
      <c r="E465" s="384"/>
      <c r="F465" s="384"/>
      <c r="G465" s="385"/>
    </row>
    <row r="466" spans="1:7" s="413" customFormat="1" ht="40.5" customHeight="1">
      <c r="A466" s="381"/>
      <c r="B466" s="404"/>
      <c r="C466" s="394" t="s">
        <v>105</v>
      </c>
      <c r="D466" s="398" t="s">
        <v>113</v>
      </c>
      <c r="E466" s="384">
        <v>129025</v>
      </c>
      <c r="F466" s="384">
        <v>127574.54</v>
      </c>
      <c r="G466" s="385">
        <f>F466/E466*100</f>
        <v>98.87583026545242</v>
      </c>
    </row>
    <row r="467" spans="1:7" s="768" customFormat="1" ht="20.25" customHeight="1">
      <c r="A467" s="624" t="s">
        <v>317</v>
      </c>
      <c r="B467" s="769"/>
      <c r="C467" s="643"/>
      <c r="D467" s="644" t="s">
        <v>257</v>
      </c>
      <c r="E467" s="645">
        <f>SUM(E468)</f>
        <v>263713</v>
      </c>
      <c r="F467" s="645">
        <f>SUM(F468)</f>
        <v>238056.56</v>
      </c>
      <c r="G467" s="628">
        <f>F467/E467*100</f>
        <v>90.2710749944068</v>
      </c>
    </row>
    <row r="468" spans="1:7" s="767" customFormat="1" ht="21" customHeight="1">
      <c r="A468" s="636"/>
      <c r="B468" s="678" t="s">
        <v>258</v>
      </c>
      <c r="C468" s="678"/>
      <c r="D468" s="770" t="s">
        <v>259</v>
      </c>
      <c r="E468" s="664">
        <f>SUM(E469,E470)</f>
        <v>263713</v>
      </c>
      <c r="F468" s="664">
        <f>SUM(F469,F470)</f>
        <v>238056.56</v>
      </c>
      <c r="G468" s="665">
        <f>F468/E468*100</f>
        <v>90.2710749944068</v>
      </c>
    </row>
    <row r="469" spans="1:7" s="642" customFormat="1" ht="55.5" customHeight="1">
      <c r="A469" s="636"/>
      <c r="B469" s="637"/>
      <c r="C469" s="638">
        <v>2110</v>
      </c>
      <c r="D469" s="639" t="s">
        <v>1087</v>
      </c>
      <c r="E469" s="640">
        <v>262113</v>
      </c>
      <c r="F469" s="640">
        <v>236536.28</v>
      </c>
      <c r="G469" s="641">
        <f>F469/E469*100</f>
        <v>90.24210168896622</v>
      </c>
    </row>
    <row r="470" spans="1:7" s="397" customFormat="1" ht="55.5" customHeight="1">
      <c r="A470" s="406"/>
      <c r="B470" s="407"/>
      <c r="C470" s="382">
        <v>6410</v>
      </c>
      <c r="D470" s="383" t="s">
        <v>428</v>
      </c>
      <c r="E470" s="409">
        <v>1600</v>
      </c>
      <c r="F470" s="409">
        <v>1520.28</v>
      </c>
      <c r="G470" s="385">
        <f>F470/E470*100</f>
        <v>95.0175</v>
      </c>
    </row>
    <row r="471" spans="1:7" s="767" customFormat="1" ht="19.5" customHeight="1">
      <c r="A471" s="624" t="s">
        <v>260</v>
      </c>
      <c r="B471" s="643"/>
      <c r="C471" s="771"/>
      <c r="D471" s="644" t="s">
        <v>261</v>
      </c>
      <c r="E471" s="645">
        <f>SUM(E472,E474,E481,E484)</f>
        <v>918000</v>
      </c>
      <c r="F471" s="645">
        <f>SUM(F472,F474,F481,F484)</f>
        <v>904927.4199999999</v>
      </c>
      <c r="G471" s="628">
        <f aca="true" t="shared" si="17" ref="G471:G481">F471/E471*100</f>
        <v>98.5759716775599</v>
      </c>
    </row>
    <row r="472" spans="1:7" s="767" customFormat="1" ht="19.5" customHeight="1">
      <c r="A472" s="630"/>
      <c r="B472" s="647" t="s">
        <v>262</v>
      </c>
      <c r="C472" s="647"/>
      <c r="D472" s="648" t="s">
        <v>1089</v>
      </c>
      <c r="E472" s="649">
        <f>E473</f>
        <v>102000</v>
      </c>
      <c r="F472" s="649">
        <f>F473</f>
        <v>102000</v>
      </c>
      <c r="G472" s="634">
        <f t="shared" si="17"/>
        <v>100</v>
      </c>
    </row>
    <row r="473" spans="1:7" s="693" customFormat="1" ht="54.75" customHeight="1">
      <c r="A473" s="636"/>
      <c r="B473" s="651"/>
      <c r="C473" s="651" t="s">
        <v>343</v>
      </c>
      <c r="D473" s="655" t="s">
        <v>1087</v>
      </c>
      <c r="E473" s="653">
        <v>102000</v>
      </c>
      <c r="F473" s="653">
        <v>102000</v>
      </c>
      <c r="G473" s="641">
        <f t="shared" si="17"/>
        <v>100</v>
      </c>
    </row>
    <row r="474" spans="1:7" s="767" customFormat="1" ht="19.5" customHeight="1">
      <c r="A474" s="630"/>
      <c r="B474" s="647" t="s">
        <v>263</v>
      </c>
      <c r="C474" s="647"/>
      <c r="D474" s="632" t="s">
        <v>264</v>
      </c>
      <c r="E474" s="649">
        <f>SUM(E475,E476,E477,E478,E479,E480)</f>
        <v>440000</v>
      </c>
      <c r="F474" s="649">
        <f>SUM(F475,F476,F477,F478,F479,F480)</f>
        <v>426931.47</v>
      </c>
      <c r="G474" s="634">
        <f t="shared" si="17"/>
        <v>97.02987954545453</v>
      </c>
    </row>
    <row r="475" spans="1:7" s="693" customFormat="1" ht="28.5" customHeight="1" hidden="1">
      <c r="A475" s="636"/>
      <c r="B475" s="651"/>
      <c r="C475" s="651" t="s">
        <v>988</v>
      </c>
      <c r="D475" s="655" t="s">
        <v>436</v>
      </c>
      <c r="E475" s="653">
        <v>0</v>
      </c>
      <c r="F475" s="653">
        <v>0</v>
      </c>
      <c r="G475" s="641" t="s">
        <v>1195</v>
      </c>
    </row>
    <row r="476" spans="1:7" s="693" customFormat="1" ht="27.75" customHeight="1">
      <c r="A476" s="636"/>
      <c r="B476" s="651"/>
      <c r="C476" s="651" t="s">
        <v>985</v>
      </c>
      <c r="D476" s="655" t="s">
        <v>1207</v>
      </c>
      <c r="E476" s="653">
        <v>440000</v>
      </c>
      <c r="F476" s="653">
        <v>426931.47</v>
      </c>
      <c r="G476" s="641">
        <f>F476/E476*100</f>
        <v>97.02987954545453</v>
      </c>
    </row>
    <row r="477" spans="1:7" s="693" customFormat="1" ht="18.75" customHeight="1" hidden="1">
      <c r="A477" s="636"/>
      <c r="B477" s="651"/>
      <c r="C477" s="680" t="s">
        <v>986</v>
      </c>
      <c r="D477" s="704" t="s">
        <v>1205</v>
      </c>
      <c r="E477" s="653">
        <v>0</v>
      </c>
      <c r="F477" s="653">
        <v>0</v>
      </c>
      <c r="G477" s="676" t="e">
        <f>F477/E477*100</f>
        <v>#DIV/0!</v>
      </c>
    </row>
    <row r="478" spans="1:7" s="693" customFormat="1" ht="28.5" customHeight="1" hidden="1">
      <c r="A478" s="636"/>
      <c r="B478" s="651"/>
      <c r="C478" s="651" t="s">
        <v>987</v>
      </c>
      <c r="D478" s="655" t="s">
        <v>1160</v>
      </c>
      <c r="E478" s="653">
        <v>0</v>
      </c>
      <c r="F478" s="653">
        <v>0</v>
      </c>
      <c r="G478" s="676" t="e">
        <f>F478/E478*100</f>
        <v>#DIV/0!</v>
      </c>
    </row>
    <row r="479" spans="1:7" s="693" customFormat="1" ht="60.75" customHeight="1" hidden="1">
      <c r="A479" s="636"/>
      <c r="B479" s="651"/>
      <c r="C479" s="651" t="s">
        <v>343</v>
      </c>
      <c r="D479" s="655" t="s">
        <v>1087</v>
      </c>
      <c r="E479" s="653">
        <v>0</v>
      </c>
      <c r="F479" s="653">
        <v>0</v>
      </c>
      <c r="G479" s="676" t="e">
        <f>F479/E479*100</f>
        <v>#DIV/0!</v>
      </c>
    </row>
    <row r="480" spans="1:7" s="413" customFormat="1" ht="67.5" customHeight="1" hidden="1">
      <c r="A480" s="381"/>
      <c r="B480" s="394"/>
      <c r="C480" s="394" t="s">
        <v>474</v>
      </c>
      <c r="D480" s="398" t="s">
        <v>959</v>
      </c>
      <c r="E480" s="396">
        <v>0</v>
      </c>
      <c r="F480" s="396">
        <v>0</v>
      </c>
      <c r="G480" s="403" t="e">
        <f>F480/E480*100</f>
        <v>#DIV/0!</v>
      </c>
    </row>
    <row r="481" spans="1:7" s="767" customFormat="1" ht="19.5" customHeight="1">
      <c r="A481" s="630"/>
      <c r="B481" s="647" t="s">
        <v>265</v>
      </c>
      <c r="C481" s="647"/>
      <c r="D481" s="648" t="s">
        <v>255</v>
      </c>
      <c r="E481" s="649">
        <f>SUM(E482,E483)</f>
        <v>376000</v>
      </c>
      <c r="F481" s="649">
        <f>SUM(F482,F483)</f>
        <v>375995.95</v>
      </c>
      <c r="G481" s="634">
        <f t="shared" si="17"/>
        <v>99.99892287234043</v>
      </c>
    </row>
    <row r="482" spans="1:7" s="693" customFormat="1" ht="60" customHeight="1">
      <c r="A482" s="636"/>
      <c r="B482" s="651"/>
      <c r="C482" s="651" t="s">
        <v>343</v>
      </c>
      <c r="D482" s="655" t="s">
        <v>1087</v>
      </c>
      <c r="E482" s="653">
        <v>376000</v>
      </c>
      <c r="F482" s="653">
        <v>375995.95</v>
      </c>
      <c r="G482" s="641">
        <f aca="true" t="shared" si="18" ref="G482:G489">F482/E482*100</f>
        <v>99.99892287234043</v>
      </c>
    </row>
    <row r="483" spans="1:7" s="693" customFormat="1" ht="54" customHeight="1" hidden="1">
      <c r="A483" s="636"/>
      <c r="B483" s="651"/>
      <c r="C483" s="651" t="s">
        <v>961</v>
      </c>
      <c r="D483" s="655" t="s">
        <v>428</v>
      </c>
      <c r="E483" s="653">
        <v>0</v>
      </c>
      <c r="F483" s="653">
        <v>0</v>
      </c>
      <c r="G483" s="641" t="e">
        <f>F483/E483*100</f>
        <v>#DIV/0!</v>
      </c>
    </row>
    <row r="484" spans="1:7" s="456" customFormat="1" ht="19.5" customHeight="1" hidden="1">
      <c r="A484" s="377"/>
      <c r="B484" s="390" t="s">
        <v>960</v>
      </c>
      <c r="C484" s="390"/>
      <c r="D484" s="391" t="s">
        <v>215</v>
      </c>
      <c r="E484" s="392">
        <f>SUM(E485)</f>
        <v>0</v>
      </c>
      <c r="F484" s="392">
        <f>SUM(F485)</f>
        <v>0</v>
      </c>
      <c r="G484" s="380" t="e">
        <f t="shared" si="18"/>
        <v>#DIV/0!</v>
      </c>
    </row>
    <row r="485" spans="1:7" s="413" customFormat="1" ht="54" customHeight="1" hidden="1">
      <c r="A485" s="381"/>
      <c r="B485" s="394"/>
      <c r="C485" s="394" t="s">
        <v>961</v>
      </c>
      <c r="D485" s="398" t="s">
        <v>428</v>
      </c>
      <c r="E485" s="396">
        <v>0</v>
      </c>
      <c r="F485" s="396">
        <v>0</v>
      </c>
      <c r="G485" s="385" t="e">
        <f t="shared" si="18"/>
        <v>#DIV/0!</v>
      </c>
    </row>
    <row r="486" spans="1:7" s="768" customFormat="1" ht="19.5" customHeight="1">
      <c r="A486" s="624" t="s">
        <v>941</v>
      </c>
      <c r="B486" s="643"/>
      <c r="C486" s="643"/>
      <c r="D486" s="644" t="s">
        <v>942</v>
      </c>
      <c r="E486" s="645">
        <f>SUM(E487,E489,E495)</f>
        <v>3434991</v>
      </c>
      <c r="F486" s="645">
        <f>SUM(F487,F489,F495)</f>
        <v>3454809.35</v>
      </c>
      <c r="G486" s="628">
        <f t="shared" si="18"/>
        <v>100.57695493234189</v>
      </c>
    </row>
    <row r="487" spans="1:7" s="767" customFormat="1" ht="19.5" customHeight="1">
      <c r="A487" s="630"/>
      <c r="B487" s="647" t="s">
        <v>943</v>
      </c>
      <c r="C487" s="647"/>
      <c r="D487" s="648" t="s">
        <v>949</v>
      </c>
      <c r="E487" s="649">
        <f>SUM(E488)</f>
        <v>80900</v>
      </c>
      <c r="F487" s="649">
        <f>SUM(F488)</f>
        <v>80899.37</v>
      </c>
      <c r="G487" s="634">
        <f t="shared" si="18"/>
        <v>99.99922126081582</v>
      </c>
    </row>
    <row r="488" spans="1:7" s="693" customFormat="1" ht="59.25" customHeight="1">
      <c r="A488" s="636"/>
      <c r="B488" s="651"/>
      <c r="C488" s="651" t="s">
        <v>343</v>
      </c>
      <c r="D488" s="655" t="s">
        <v>1087</v>
      </c>
      <c r="E488" s="653">
        <v>80900</v>
      </c>
      <c r="F488" s="653">
        <v>80899.37</v>
      </c>
      <c r="G488" s="641">
        <f t="shared" si="18"/>
        <v>99.99922126081582</v>
      </c>
    </row>
    <row r="489" spans="1:7" s="767" customFormat="1" ht="19.5" customHeight="1">
      <c r="A489" s="630"/>
      <c r="B489" s="647" t="s">
        <v>950</v>
      </c>
      <c r="C489" s="647"/>
      <c r="D489" s="648" t="s">
        <v>0</v>
      </c>
      <c r="E489" s="649">
        <f>SUM(E490,E491,E492,E493,E494)</f>
        <v>3334751</v>
      </c>
      <c r="F489" s="649">
        <f>SUM(F490,F491,F492,F493,F494)</f>
        <v>3354571.17</v>
      </c>
      <c r="G489" s="634">
        <f t="shared" si="18"/>
        <v>100.59435232195746</v>
      </c>
    </row>
    <row r="490" spans="1:7" s="767" customFormat="1" ht="19.5" customHeight="1">
      <c r="A490" s="636"/>
      <c r="B490" s="651"/>
      <c r="C490" s="651" t="s">
        <v>989</v>
      </c>
      <c r="D490" s="655" t="s">
        <v>1157</v>
      </c>
      <c r="E490" s="653">
        <v>1400</v>
      </c>
      <c r="F490" s="653">
        <v>1750</v>
      </c>
      <c r="G490" s="641">
        <f aca="true" t="shared" si="19" ref="G490:G507">F490/E490*100</f>
        <v>125</v>
      </c>
    </row>
    <row r="491" spans="1:7" s="767" customFormat="1" ht="69" customHeight="1">
      <c r="A491" s="636"/>
      <c r="B491" s="651"/>
      <c r="C491" s="651" t="s">
        <v>990</v>
      </c>
      <c r="D491" s="655" t="s">
        <v>593</v>
      </c>
      <c r="E491" s="653">
        <v>29251</v>
      </c>
      <c r="F491" s="653">
        <v>27865.84</v>
      </c>
      <c r="G491" s="641">
        <f t="shared" si="19"/>
        <v>95.26457215137944</v>
      </c>
    </row>
    <row r="492" spans="1:8" s="767" customFormat="1" ht="20.25" customHeight="1">
      <c r="A492" s="636"/>
      <c r="B492" s="651"/>
      <c r="C492" s="651" t="s">
        <v>986</v>
      </c>
      <c r="D492" s="652" t="s">
        <v>1205</v>
      </c>
      <c r="E492" s="653">
        <v>0</v>
      </c>
      <c r="F492" s="653">
        <v>75.12</v>
      </c>
      <c r="G492" s="641" t="s">
        <v>1195</v>
      </c>
      <c r="H492" s="693"/>
    </row>
    <row r="493" spans="1:8" s="773" customFormat="1" ht="20.25" customHeight="1" hidden="1">
      <c r="A493" s="656"/>
      <c r="B493" s="657"/>
      <c r="C493" s="1774" t="s">
        <v>987</v>
      </c>
      <c r="D493" s="1771" t="s">
        <v>1160</v>
      </c>
      <c r="E493" s="1775">
        <v>0</v>
      </c>
      <c r="F493" s="1775">
        <v>0</v>
      </c>
      <c r="G493" s="1777" t="s">
        <v>1195</v>
      </c>
      <c r="H493" s="772"/>
    </row>
    <row r="494" spans="1:7" s="767" customFormat="1" ht="51.75" customHeight="1">
      <c r="A494" s="636"/>
      <c r="B494" s="651"/>
      <c r="C494" s="651" t="s">
        <v>571</v>
      </c>
      <c r="D494" s="655" t="s">
        <v>591</v>
      </c>
      <c r="E494" s="653">
        <v>3304100</v>
      </c>
      <c r="F494" s="653">
        <v>3324880.21</v>
      </c>
      <c r="G494" s="641">
        <f t="shared" si="19"/>
        <v>100.62892194546168</v>
      </c>
    </row>
    <row r="495" spans="1:7" s="767" customFormat="1" ht="19.5" customHeight="1">
      <c r="A495" s="630"/>
      <c r="B495" s="647" t="s">
        <v>2</v>
      </c>
      <c r="C495" s="771"/>
      <c r="D495" s="648" t="s">
        <v>1754</v>
      </c>
      <c r="E495" s="649">
        <f>E496+E497</f>
        <v>19340</v>
      </c>
      <c r="F495" s="649">
        <f>F496+F497</f>
        <v>19338.81</v>
      </c>
      <c r="G495" s="634">
        <f t="shared" si="19"/>
        <v>99.99384694932783</v>
      </c>
    </row>
    <row r="496" spans="1:7" s="693" customFormat="1" ht="56.25" customHeight="1">
      <c r="A496" s="636"/>
      <c r="B496" s="651"/>
      <c r="C496" s="774">
        <v>2110</v>
      </c>
      <c r="D496" s="655" t="s">
        <v>1087</v>
      </c>
      <c r="E496" s="653">
        <v>19000</v>
      </c>
      <c r="F496" s="653">
        <v>18998.81</v>
      </c>
      <c r="G496" s="641">
        <f t="shared" si="19"/>
        <v>99.99373684210528</v>
      </c>
    </row>
    <row r="497" spans="1:7" s="693" customFormat="1" ht="53.25" customHeight="1">
      <c r="A497" s="636"/>
      <c r="B497" s="651"/>
      <c r="C497" s="774">
        <v>2120</v>
      </c>
      <c r="D497" s="655" t="s">
        <v>1166</v>
      </c>
      <c r="E497" s="653">
        <v>340</v>
      </c>
      <c r="F497" s="653">
        <v>340</v>
      </c>
      <c r="G497" s="641">
        <f t="shared" si="19"/>
        <v>100</v>
      </c>
    </row>
    <row r="498" spans="1:7" s="767" customFormat="1" ht="29.25" customHeight="1">
      <c r="A498" s="624" t="s">
        <v>5</v>
      </c>
      <c r="B498" s="643"/>
      <c r="C498" s="771"/>
      <c r="D498" s="670" t="s">
        <v>86</v>
      </c>
      <c r="E498" s="645">
        <f>SUM(E499,E502,E504)</f>
        <v>4332754</v>
      </c>
      <c r="F498" s="645">
        <f>SUM(F499,F502,F504)</f>
        <v>4326132.02</v>
      </c>
      <c r="G498" s="628">
        <f t="shared" si="19"/>
        <v>99.84716464401163</v>
      </c>
    </row>
    <row r="499" spans="1:7" s="767" customFormat="1" ht="19.5" customHeight="1">
      <c r="A499" s="630"/>
      <c r="B499" s="647" t="s">
        <v>6</v>
      </c>
      <c r="C499" s="771"/>
      <c r="D499" s="632" t="s">
        <v>385</v>
      </c>
      <c r="E499" s="649">
        <f>SUM(E500,E501)</f>
        <v>4312588</v>
      </c>
      <c r="F499" s="649">
        <f>SUM(F500,F501)</f>
        <v>4305966.02</v>
      </c>
      <c r="G499" s="634">
        <f t="shared" si="19"/>
        <v>99.84644997389037</v>
      </c>
    </row>
    <row r="500" spans="1:7" s="693" customFormat="1" ht="53.25" customHeight="1">
      <c r="A500" s="636"/>
      <c r="B500" s="637"/>
      <c r="C500" s="775">
        <v>2110</v>
      </c>
      <c r="D500" s="655" t="s">
        <v>1087</v>
      </c>
      <c r="E500" s="689">
        <v>4312588</v>
      </c>
      <c r="F500" s="689">
        <v>4305966.02</v>
      </c>
      <c r="G500" s="641">
        <f t="shared" si="19"/>
        <v>99.84644997389037</v>
      </c>
    </row>
    <row r="501" spans="1:7" s="693" customFormat="1" ht="54.75" customHeight="1" hidden="1">
      <c r="A501" s="636"/>
      <c r="B501" s="637"/>
      <c r="C501" s="775">
        <v>6410</v>
      </c>
      <c r="D501" s="655" t="s">
        <v>428</v>
      </c>
      <c r="E501" s="689">
        <v>0</v>
      </c>
      <c r="F501" s="689">
        <v>0</v>
      </c>
      <c r="G501" s="641" t="e">
        <f t="shared" si="19"/>
        <v>#DIV/0!</v>
      </c>
    </row>
    <row r="502" spans="1:7" s="767" customFormat="1" ht="22.5" customHeight="1">
      <c r="A502" s="630"/>
      <c r="B502" s="631" t="s">
        <v>1733</v>
      </c>
      <c r="C502" s="776"/>
      <c r="D502" s="632" t="s">
        <v>1734</v>
      </c>
      <c r="E502" s="777">
        <f>SUM(E503)</f>
        <v>166</v>
      </c>
      <c r="F502" s="777">
        <f>SUM(F503)</f>
        <v>166</v>
      </c>
      <c r="G502" s="634">
        <f t="shared" si="19"/>
        <v>100</v>
      </c>
    </row>
    <row r="503" spans="1:7" s="693" customFormat="1" ht="56.25" customHeight="1">
      <c r="A503" s="636"/>
      <c r="B503" s="637"/>
      <c r="C503" s="775">
        <v>2110</v>
      </c>
      <c r="D503" s="655" t="s">
        <v>1087</v>
      </c>
      <c r="E503" s="689">
        <v>166</v>
      </c>
      <c r="F503" s="689">
        <v>166</v>
      </c>
      <c r="G503" s="641">
        <f>F503/E503*100</f>
        <v>100</v>
      </c>
    </row>
    <row r="504" spans="1:7" s="693" customFormat="1" ht="19.5" customHeight="1">
      <c r="A504" s="636"/>
      <c r="B504" s="1818" t="s">
        <v>1731</v>
      </c>
      <c r="C504" s="1819"/>
      <c r="D504" s="1795" t="s">
        <v>215</v>
      </c>
      <c r="E504" s="784">
        <f>SUM(E505)</f>
        <v>20000</v>
      </c>
      <c r="F504" s="784">
        <f>SUM(F505)</f>
        <v>20000</v>
      </c>
      <c r="G504" s="662">
        <f>F504/E504*100</f>
        <v>100</v>
      </c>
    </row>
    <row r="505" spans="1:7" s="693" customFormat="1" ht="40.5" customHeight="1">
      <c r="A505" s="636"/>
      <c r="B505" s="1818"/>
      <c r="C505" s="1819">
        <v>2440</v>
      </c>
      <c r="D505" s="685" t="s">
        <v>1092</v>
      </c>
      <c r="E505" s="784">
        <v>20000</v>
      </c>
      <c r="F505" s="784">
        <v>20000</v>
      </c>
      <c r="G505" s="662">
        <f>F505/E505*100</f>
        <v>100</v>
      </c>
    </row>
    <row r="506" spans="1:7" s="768" customFormat="1" ht="69" customHeight="1">
      <c r="A506" s="778" t="s">
        <v>284</v>
      </c>
      <c r="B506" s="643"/>
      <c r="C506" s="643"/>
      <c r="D506" s="670" t="s">
        <v>450</v>
      </c>
      <c r="E506" s="645">
        <f>SUM(E507,E512)</f>
        <v>9068370</v>
      </c>
      <c r="F506" s="645">
        <f>SUM(F507,F512)</f>
        <v>8838018.87</v>
      </c>
      <c r="G506" s="628">
        <f t="shared" si="19"/>
        <v>97.45983975069389</v>
      </c>
    </row>
    <row r="507" spans="1:7" s="767" customFormat="1" ht="41.25" customHeight="1">
      <c r="A507" s="630"/>
      <c r="B507" s="647" t="s">
        <v>1178</v>
      </c>
      <c r="C507" s="647"/>
      <c r="D507" s="632" t="s">
        <v>390</v>
      </c>
      <c r="E507" s="649">
        <f>SUM(E508,E509,E510,E511)</f>
        <v>1194120</v>
      </c>
      <c r="F507" s="649">
        <f>SUM(F508,F509,F510,F511)</f>
        <v>1228333.1</v>
      </c>
      <c r="G507" s="634">
        <f t="shared" si="19"/>
        <v>102.86513080762403</v>
      </c>
    </row>
    <row r="508" spans="1:7" s="693" customFormat="1" ht="19.5" customHeight="1">
      <c r="A508" s="636"/>
      <c r="B508" s="651"/>
      <c r="C508" s="651" t="s">
        <v>558</v>
      </c>
      <c r="D508" s="652" t="s">
        <v>1165</v>
      </c>
      <c r="E508" s="653">
        <v>687120</v>
      </c>
      <c r="F508" s="653">
        <v>706689.95</v>
      </c>
      <c r="G508" s="641">
        <f>F508/E508*100</f>
        <v>102.84811241122365</v>
      </c>
    </row>
    <row r="509" spans="1:7" s="693" customFormat="1" ht="40.5" customHeight="1">
      <c r="A509" s="636"/>
      <c r="B509" s="651"/>
      <c r="C509" s="651" t="s">
        <v>995</v>
      </c>
      <c r="D509" s="655" t="s">
        <v>1551</v>
      </c>
      <c r="E509" s="653">
        <v>507000</v>
      </c>
      <c r="F509" s="653">
        <v>519379.9</v>
      </c>
      <c r="G509" s="641">
        <f>F509/E509*100</f>
        <v>102.44179487179488</v>
      </c>
    </row>
    <row r="510" spans="1:7" s="693" customFormat="1" ht="19.5" customHeight="1" hidden="1">
      <c r="A510" s="636"/>
      <c r="B510" s="651"/>
      <c r="C510" s="651" t="s">
        <v>989</v>
      </c>
      <c r="D510" s="655" t="s">
        <v>1157</v>
      </c>
      <c r="E510" s="653">
        <v>0</v>
      </c>
      <c r="F510" s="653">
        <v>0</v>
      </c>
      <c r="G510" s="641" t="e">
        <f>F510/E510*100</f>
        <v>#DIV/0!</v>
      </c>
    </row>
    <row r="511" spans="1:7" s="693" customFormat="1" ht="19.5" customHeight="1">
      <c r="A511" s="636"/>
      <c r="B511" s="651"/>
      <c r="C511" s="651" t="s">
        <v>986</v>
      </c>
      <c r="D511" s="655" t="s">
        <v>1205</v>
      </c>
      <c r="E511" s="653">
        <v>0</v>
      </c>
      <c r="F511" s="653">
        <v>2263.25</v>
      </c>
      <c r="G511" s="641" t="s">
        <v>1195</v>
      </c>
    </row>
    <row r="512" spans="1:7" s="767" customFormat="1" ht="30.75" customHeight="1">
      <c r="A512" s="630"/>
      <c r="B512" s="647" t="s">
        <v>1197</v>
      </c>
      <c r="C512" s="647"/>
      <c r="D512" s="632" t="s">
        <v>341</v>
      </c>
      <c r="E512" s="649">
        <f>+E513+E514</f>
        <v>7874250</v>
      </c>
      <c r="F512" s="649">
        <f>F513+F514</f>
        <v>7609685.77</v>
      </c>
      <c r="G512" s="634">
        <f aca="true" t="shared" si="20" ref="G512:G528">F512/E512*100</f>
        <v>96.6401342350065</v>
      </c>
    </row>
    <row r="513" spans="1:7" s="693" customFormat="1" ht="19.5" customHeight="1">
      <c r="A513" s="636"/>
      <c r="B513" s="651"/>
      <c r="C513" s="651" t="s">
        <v>562</v>
      </c>
      <c r="D513" s="655" t="s">
        <v>1192</v>
      </c>
      <c r="E513" s="653">
        <v>7589250</v>
      </c>
      <c r="F513" s="653">
        <v>7312531</v>
      </c>
      <c r="G513" s="641">
        <f t="shared" si="20"/>
        <v>96.35380307672035</v>
      </c>
    </row>
    <row r="514" spans="1:7" s="693" customFormat="1" ht="19.5" customHeight="1">
      <c r="A514" s="636"/>
      <c r="B514" s="651"/>
      <c r="C514" s="651" t="s">
        <v>563</v>
      </c>
      <c r="D514" s="652" t="s">
        <v>1196</v>
      </c>
      <c r="E514" s="653">
        <v>285000</v>
      </c>
      <c r="F514" s="653">
        <v>297154.77</v>
      </c>
      <c r="G514" s="641">
        <f t="shared" si="20"/>
        <v>104.26483157894737</v>
      </c>
    </row>
    <row r="515" spans="1:7" s="768" customFormat="1" ht="19.5" customHeight="1">
      <c r="A515" s="624" t="s">
        <v>10</v>
      </c>
      <c r="B515" s="643"/>
      <c r="C515" s="643"/>
      <c r="D515" s="644" t="s">
        <v>11</v>
      </c>
      <c r="E515" s="645">
        <f>SUM(E523,E516,E518,E521,E525)</f>
        <v>44094995</v>
      </c>
      <c r="F515" s="645">
        <f>SUM(F523,F516,F518,F521,F525)</f>
        <v>44094995</v>
      </c>
      <c r="G515" s="628">
        <f t="shared" si="20"/>
        <v>100</v>
      </c>
    </row>
    <row r="516" spans="1:7" s="767" customFormat="1" ht="27.75" customHeight="1">
      <c r="A516" s="630"/>
      <c r="B516" s="647" t="s">
        <v>1198</v>
      </c>
      <c r="C516" s="647"/>
      <c r="D516" s="632" t="s">
        <v>1200</v>
      </c>
      <c r="E516" s="649">
        <f>E517</f>
        <v>18286048</v>
      </c>
      <c r="F516" s="649">
        <f>F517</f>
        <v>18286048</v>
      </c>
      <c r="G516" s="634">
        <f t="shared" si="20"/>
        <v>100</v>
      </c>
    </row>
    <row r="517" spans="1:7" s="768" customFormat="1" ht="19.5" customHeight="1">
      <c r="A517" s="624"/>
      <c r="B517" s="643"/>
      <c r="C517" s="651" t="s">
        <v>564</v>
      </c>
      <c r="D517" s="655" t="s">
        <v>386</v>
      </c>
      <c r="E517" s="653">
        <v>18286048</v>
      </c>
      <c r="F517" s="653">
        <v>18286048</v>
      </c>
      <c r="G517" s="641">
        <f t="shared" si="20"/>
        <v>100</v>
      </c>
    </row>
    <row r="518" spans="1:7" s="767" customFormat="1" ht="30" customHeight="1">
      <c r="A518" s="630"/>
      <c r="B518" s="647" t="s">
        <v>1202</v>
      </c>
      <c r="C518" s="647"/>
      <c r="D518" s="632" t="s">
        <v>1692</v>
      </c>
      <c r="E518" s="649">
        <f>SUM(E520,E519)</f>
        <v>22000000</v>
      </c>
      <c r="F518" s="649">
        <f>SUM(F520,F519)</f>
        <v>22000000</v>
      </c>
      <c r="G518" s="634">
        <f t="shared" si="20"/>
        <v>100</v>
      </c>
    </row>
    <row r="519" spans="1:7" s="693" customFormat="1" ht="51" customHeight="1">
      <c r="A519" s="636"/>
      <c r="B519" s="651"/>
      <c r="C519" s="651" t="s">
        <v>572</v>
      </c>
      <c r="D519" s="655" t="s">
        <v>320</v>
      </c>
      <c r="E519" s="653">
        <v>22000000</v>
      </c>
      <c r="F519" s="653">
        <v>22000000</v>
      </c>
      <c r="G519" s="641">
        <f t="shared" si="20"/>
        <v>100</v>
      </c>
    </row>
    <row r="520" spans="1:7" s="413" customFormat="1" ht="53.25" customHeight="1" hidden="1">
      <c r="A520" s="381"/>
      <c r="B520" s="394"/>
      <c r="C520" s="394" t="s">
        <v>1425</v>
      </c>
      <c r="D520" s="398" t="s">
        <v>1404</v>
      </c>
      <c r="E520" s="396">
        <v>0</v>
      </c>
      <c r="F520" s="396"/>
      <c r="G520" s="385" t="e">
        <f t="shared" si="20"/>
        <v>#DIV/0!</v>
      </c>
    </row>
    <row r="521" spans="1:7" s="767" customFormat="1" ht="26.25" customHeight="1" hidden="1">
      <c r="A521" s="630"/>
      <c r="B521" s="647" t="s">
        <v>1426</v>
      </c>
      <c r="C521" s="647"/>
      <c r="D521" s="632" t="s">
        <v>1427</v>
      </c>
      <c r="E521" s="649">
        <f>SUM(E522)</f>
        <v>0</v>
      </c>
      <c r="F521" s="649">
        <f>SUM(F522)</f>
        <v>0</v>
      </c>
      <c r="G521" s="634" t="e">
        <f t="shared" si="20"/>
        <v>#DIV/0!</v>
      </c>
    </row>
    <row r="522" spans="1:7" s="693" customFormat="1" ht="19.5" customHeight="1" hidden="1">
      <c r="A522" s="636"/>
      <c r="B522" s="651"/>
      <c r="C522" s="651" t="s">
        <v>564</v>
      </c>
      <c r="D522" s="655" t="s">
        <v>386</v>
      </c>
      <c r="E522" s="653">
        <v>0</v>
      </c>
      <c r="F522" s="653">
        <v>0</v>
      </c>
      <c r="G522" s="641" t="e">
        <f t="shared" si="20"/>
        <v>#DIV/0!</v>
      </c>
    </row>
    <row r="523" spans="1:7" s="767" customFormat="1" ht="21.75" customHeight="1" hidden="1">
      <c r="A523" s="630"/>
      <c r="B523" s="647" t="s">
        <v>1203</v>
      </c>
      <c r="C523" s="751"/>
      <c r="D523" s="632" t="s">
        <v>1204</v>
      </c>
      <c r="E523" s="649">
        <f>E524</f>
        <v>0</v>
      </c>
      <c r="F523" s="649">
        <f>F524</f>
        <v>0</v>
      </c>
      <c r="G523" s="634" t="e">
        <f t="shared" si="20"/>
        <v>#DIV/0!</v>
      </c>
    </row>
    <row r="524" spans="1:7" s="772" customFormat="1" ht="39" customHeight="1" hidden="1">
      <c r="A524" s="656"/>
      <c r="B524" s="657"/>
      <c r="C524" s="783" t="s">
        <v>295</v>
      </c>
      <c r="D524" s="732" t="s">
        <v>1735</v>
      </c>
      <c r="E524" s="661">
        <v>0</v>
      </c>
      <c r="F524" s="661">
        <v>0</v>
      </c>
      <c r="G524" s="662" t="e">
        <f t="shared" si="20"/>
        <v>#DIV/0!</v>
      </c>
    </row>
    <row r="525" spans="1:7" s="767" customFormat="1" ht="25.5" customHeight="1">
      <c r="A525" s="630"/>
      <c r="B525" s="647" t="s">
        <v>573</v>
      </c>
      <c r="C525" s="751"/>
      <c r="D525" s="632" t="s">
        <v>589</v>
      </c>
      <c r="E525" s="649">
        <f>E526</f>
        <v>3808947</v>
      </c>
      <c r="F525" s="649">
        <f>F526</f>
        <v>3808947</v>
      </c>
      <c r="G525" s="634">
        <f t="shared" si="20"/>
        <v>100</v>
      </c>
    </row>
    <row r="526" spans="1:7" s="693" customFormat="1" ht="21" customHeight="1">
      <c r="A526" s="636"/>
      <c r="B526" s="651"/>
      <c r="C526" s="687" t="s">
        <v>564</v>
      </c>
      <c r="D526" s="692" t="s">
        <v>1201</v>
      </c>
      <c r="E526" s="653">
        <v>3808947</v>
      </c>
      <c r="F526" s="653">
        <v>3808947</v>
      </c>
      <c r="G526" s="641">
        <f t="shared" si="20"/>
        <v>100</v>
      </c>
    </row>
    <row r="527" spans="1:7" s="767" customFormat="1" ht="19.5" customHeight="1">
      <c r="A527" s="624" t="s">
        <v>12</v>
      </c>
      <c r="B527" s="643"/>
      <c r="C527" s="771"/>
      <c r="D527" s="644" t="s">
        <v>13</v>
      </c>
      <c r="E527" s="645">
        <f>SUM(E528,E532,E540)</f>
        <v>918633</v>
      </c>
      <c r="F527" s="645">
        <f>SUM(F528,F532,F540)</f>
        <v>937318.8600000001</v>
      </c>
      <c r="G527" s="1823">
        <f t="shared" si="20"/>
        <v>102.03409413770244</v>
      </c>
    </row>
    <row r="528" spans="1:7" s="767" customFormat="1" ht="19.5" customHeight="1">
      <c r="A528" s="624"/>
      <c r="B528" s="684" t="s">
        <v>18</v>
      </c>
      <c r="C528" s="1820"/>
      <c r="D528" s="1821" t="s">
        <v>325</v>
      </c>
      <c r="E528" s="1822">
        <f>SUM(E529,E530)</f>
        <v>918633</v>
      </c>
      <c r="F528" s="1822">
        <f>SUM(F529,F530)</f>
        <v>925266.8600000001</v>
      </c>
      <c r="G528" s="641">
        <f t="shared" si="20"/>
        <v>100.72214475203918</v>
      </c>
    </row>
    <row r="529" spans="1:7" s="767" customFormat="1" ht="44.25" customHeight="1">
      <c r="A529" s="624"/>
      <c r="B529" s="684"/>
      <c r="C529" s="731" t="s">
        <v>295</v>
      </c>
      <c r="D529" s="659" t="s">
        <v>351</v>
      </c>
      <c r="E529" s="661">
        <v>0</v>
      </c>
      <c r="F529" s="661">
        <v>587.18</v>
      </c>
      <c r="G529" s="662" t="s">
        <v>1195</v>
      </c>
    </row>
    <row r="530" spans="1:7" s="767" customFormat="1" ht="57" customHeight="1">
      <c r="A530" s="624"/>
      <c r="B530" s="684"/>
      <c r="C530" s="731" t="s">
        <v>424</v>
      </c>
      <c r="D530" s="1843" t="s">
        <v>807</v>
      </c>
      <c r="E530" s="661">
        <v>918633</v>
      </c>
      <c r="F530" s="661">
        <v>924679.68</v>
      </c>
      <c r="G530" s="662">
        <f>F530/E530*100</f>
        <v>100.65822586386513</v>
      </c>
    </row>
    <row r="531" spans="1:7" s="767" customFormat="1" ht="83.25" customHeight="1">
      <c r="A531" s="624"/>
      <c r="B531" s="684"/>
      <c r="C531" s="731"/>
      <c r="D531" s="659" t="s">
        <v>808</v>
      </c>
      <c r="E531" s="661"/>
      <c r="F531" s="661"/>
      <c r="G531" s="662"/>
    </row>
    <row r="532" spans="1:7" s="767" customFormat="1" ht="19.5" customHeight="1">
      <c r="A532" s="630"/>
      <c r="B532" s="647" t="s">
        <v>19</v>
      </c>
      <c r="C532" s="771"/>
      <c r="D532" s="648" t="s">
        <v>20</v>
      </c>
      <c r="E532" s="649">
        <f>SUM(E533,E534,E535,E536,E538)</f>
        <v>0</v>
      </c>
      <c r="F532" s="649">
        <f>SUM(F533,F534,F535,F536,F538)</f>
        <v>12052</v>
      </c>
      <c r="G532" s="634" t="s">
        <v>1195</v>
      </c>
    </row>
    <row r="533" spans="1:7" s="767" customFormat="1" ht="19.5" customHeight="1" hidden="1">
      <c r="A533" s="630"/>
      <c r="B533" s="647"/>
      <c r="C533" s="680" t="s">
        <v>989</v>
      </c>
      <c r="D533" s="639" t="s">
        <v>1157</v>
      </c>
      <c r="E533" s="653">
        <v>0</v>
      </c>
      <c r="F533" s="653">
        <v>0</v>
      </c>
      <c r="G533" s="641" t="s">
        <v>1195</v>
      </c>
    </row>
    <row r="534" spans="1:7" s="767" customFormat="1" ht="19.5" customHeight="1">
      <c r="A534" s="630"/>
      <c r="B534" s="647"/>
      <c r="C534" s="731" t="s">
        <v>972</v>
      </c>
      <c r="D534" s="659" t="s">
        <v>971</v>
      </c>
      <c r="E534" s="745">
        <v>0</v>
      </c>
      <c r="F534" s="745">
        <v>7600</v>
      </c>
      <c r="G534" s="662" t="s">
        <v>1195</v>
      </c>
    </row>
    <row r="535" spans="1:7" s="767" customFormat="1" ht="19.5" customHeight="1">
      <c r="A535" s="630"/>
      <c r="B535" s="647"/>
      <c r="C535" s="731" t="s">
        <v>987</v>
      </c>
      <c r="D535" s="685" t="s">
        <v>1160</v>
      </c>
      <c r="E535" s="745">
        <v>0</v>
      </c>
      <c r="F535" s="745">
        <v>4452</v>
      </c>
      <c r="G535" s="662" t="s">
        <v>1195</v>
      </c>
    </row>
    <row r="536" spans="1:7" s="693" customFormat="1" ht="64.5" customHeight="1" hidden="1">
      <c r="A536" s="636"/>
      <c r="B536" s="651"/>
      <c r="C536" s="779">
        <v>2008</v>
      </c>
      <c r="D536" s="639" t="s">
        <v>712</v>
      </c>
      <c r="E536" s="653">
        <v>0</v>
      </c>
      <c r="F536" s="653">
        <v>0</v>
      </c>
      <c r="G536" s="641" t="e">
        <f aca="true" t="shared" si="21" ref="G536:G542">F536/E536*100</f>
        <v>#DIV/0!</v>
      </c>
    </row>
    <row r="537" spans="1:7" s="693" customFormat="1" ht="66.75" customHeight="1" hidden="1">
      <c r="A537" s="636"/>
      <c r="B537" s="651"/>
      <c r="C537" s="779"/>
      <c r="D537" s="639" t="s">
        <v>808</v>
      </c>
      <c r="E537" s="653"/>
      <c r="F537" s="653"/>
      <c r="G537" s="641"/>
    </row>
    <row r="538" spans="1:7" s="693" customFormat="1" ht="30.75" customHeight="1" hidden="1">
      <c r="A538" s="636"/>
      <c r="B538" s="651"/>
      <c r="C538" s="779">
        <v>2009</v>
      </c>
      <c r="D538" s="655"/>
      <c r="E538" s="653"/>
      <c r="F538" s="653"/>
      <c r="G538" s="641" t="e">
        <f t="shared" si="21"/>
        <v>#DIV/0!</v>
      </c>
    </row>
    <row r="539" spans="1:7" s="693" customFormat="1" ht="30.75" customHeight="1" hidden="1">
      <c r="A539" s="636"/>
      <c r="B539" s="651"/>
      <c r="C539" s="779"/>
      <c r="D539" s="655"/>
      <c r="E539" s="653"/>
      <c r="F539" s="653"/>
      <c r="G539" s="641"/>
    </row>
    <row r="540" spans="1:7" s="767" customFormat="1" ht="21" customHeight="1" hidden="1">
      <c r="A540" s="630"/>
      <c r="B540" s="751" t="s">
        <v>1769</v>
      </c>
      <c r="C540" s="771"/>
      <c r="D540" s="632" t="s">
        <v>215</v>
      </c>
      <c r="E540" s="649">
        <f>SUM(E541,E542)</f>
        <v>0</v>
      </c>
      <c r="F540" s="649">
        <f>SUM(F541,F542)</f>
        <v>0</v>
      </c>
      <c r="G540" s="634" t="e">
        <f t="shared" si="21"/>
        <v>#DIV/0!</v>
      </c>
    </row>
    <row r="541" spans="1:7" s="693" customFormat="1" ht="31.5" customHeight="1" hidden="1">
      <c r="A541" s="636"/>
      <c r="B541" s="651"/>
      <c r="C541" s="774">
        <v>2130</v>
      </c>
      <c r="D541" s="655" t="s">
        <v>429</v>
      </c>
      <c r="E541" s="653">
        <v>0</v>
      </c>
      <c r="F541" s="653">
        <v>0</v>
      </c>
      <c r="G541" s="641" t="e">
        <f t="shared" si="21"/>
        <v>#DIV/0!</v>
      </c>
    </row>
    <row r="542" spans="1:7" s="693" customFormat="1" ht="45" customHeight="1" hidden="1">
      <c r="A542" s="636"/>
      <c r="B542" s="651"/>
      <c r="C542" s="687" t="s">
        <v>105</v>
      </c>
      <c r="D542" s="692" t="s">
        <v>113</v>
      </c>
      <c r="E542" s="653">
        <v>0</v>
      </c>
      <c r="F542" s="653">
        <v>0</v>
      </c>
      <c r="G542" s="641" t="e">
        <f t="shared" si="21"/>
        <v>#DIV/0!</v>
      </c>
    </row>
    <row r="543" spans="1:7" s="767" customFormat="1" ht="19.5" customHeight="1">
      <c r="A543" s="624" t="s">
        <v>21</v>
      </c>
      <c r="B543" s="643"/>
      <c r="C543" s="771"/>
      <c r="D543" s="644" t="s">
        <v>22</v>
      </c>
      <c r="E543" s="645">
        <f>SUM(E544,E547)</f>
        <v>935500</v>
      </c>
      <c r="F543" s="645">
        <f>SUM(F544,F547)</f>
        <v>925808.2100000001</v>
      </c>
      <c r="G543" s="628">
        <f>F543/E543*100</f>
        <v>98.96399893105293</v>
      </c>
    </row>
    <row r="544" spans="1:7" s="650" customFormat="1" ht="18" customHeight="1">
      <c r="A544" s="694"/>
      <c r="B544" s="705" t="s">
        <v>1770</v>
      </c>
      <c r="C544" s="705"/>
      <c r="D544" s="734" t="s">
        <v>1771</v>
      </c>
      <c r="E544" s="707">
        <f>SUM(E545:E546)</f>
        <v>0</v>
      </c>
      <c r="F544" s="707">
        <f>SUM(F545:F546)</f>
        <v>1131.41</v>
      </c>
      <c r="G544" s="634" t="s">
        <v>1195</v>
      </c>
    </row>
    <row r="545" spans="1:7" s="650" customFormat="1" ht="68.25" customHeight="1">
      <c r="A545" s="694"/>
      <c r="B545" s="705"/>
      <c r="C545" s="1824" t="s">
        <v>543</v>
      </c>
      <c r="D545" s="744" t="s">
        <v>544</v>
      </c>
      <c r="E545" s="745">
        <v>0</v>
      </c>
      <c r="F545" s="745">
        <v>10</v>
      </c>
      <c r="G545" s="641" t="s">
        <v>1195</v>
      </c>
    </row>
    <row r="546" spans="1:7" s="650" customFormat="1" ht="65.25" customHeight="1">
      <c r="A546" s="679"/>
      <c r="B546" s="724"/>
      <c r="C546" s="724" t="s">
        <v>1567</v>
      </c>
      <c r="D546" s="655" t="s">
        <v>822</v>
      </c>
      <c r="E546" s="736">
        <v>0</v>
      </c>
      <c r="F546" s="736">
        <v>1121.41</v>
      </c>
      <c r="G546" s="641" t="s">
        <v>1195</v>
      </c>
    </row>
    <row r="547" spans="1:7" s="767" customFormat="1" ht="43.5" customHeight="1">
      <c r="A547" s="630"/>
      <c r="B547" s="751" t="s">
        <v>1206</v>
      </c>
      <c r="C547" s="771"/>
      <c r="D547" s="632" t="s">
        <v>1693</v>
      </c>
      <c r="E547" s="649">
        <f>SUM(E548,E549)</f>
        <v>935500</v>
      </c>
      <c r="F547" s="649">
        <f>SUM(F548,F549)</f>
        <v>924676.8</v>
      </c>
      <c r="G547" s="634">
        <f aca="true" t="shared" si="22" ref="G547:G613">F547/E547*100</f>
        <v>98.84305718866916</v>
      </c>
    </row>
    <row r="548" spans="1:7" s="693" customFormat="1" ht="52.5" customHeight="1">
      <c r="A548" s="636"/>
      <c r="B548" s="651"/>
      <c r="C548" s="774">
        <v>2110</v>
      </c>
      <c r="D548" s="655" t="s">
        <v>1087</v>
      </c>
      <c r="E548" s="653">
        <v>935500</v>
      </c>
      <c r="F548" s="653">
        <v>924676.8</v>
      </c>
      <c r="G548" s="641">
        <f t="shared" si="22"/>
        <v>98.84305718866916</v>
      </c>
    </row>
    <row r="549" spans="1:7" s="693" customFormat="1" ht="41.25" customHeight="1" hidden="1">
      <c r="A549" s="636"/>
      <c r="B549" s="651"/>
      <c r="C549" s="774">
        <v>2910</v>
      </c>
      <c r="D549" s="655" t="s">
        <v>1571</v>
      </c>
      <c r="E549" s="653"/>
      <c r="F549" s="653"/>
      <c r="G549" s="641" t="s">
        <v>1195</v>
      </c>
    </row>
    <row r="550" spans="1:7" s="768" customFormat="1" ht="21.75" customHeight="1">
      <c r="A550" s="624" t="s">
        <v>574</v>
      </c>
      <c r="B550" s="643"/>
      <c r="C550" s="780"/>
      <c r="D550" s="670" t="s">
        <v>585</v>
      </c>
      <c r="E550" s="645">
        <f>SUM(E551,E554,E556,E564,E567,E569,E572)</f>
        <v>500510.99</v>
      </c>
      <c r="F550" s="645">
        <f>SUM(F551,F554,F556,F564,F567,F569,F572)</f>
        <v>502883.77999999997</v>
      </c>
      <c r="G550" s="628">
        <f t="shared" si="22"/>
        <v>100.47407350635797</v>
      </c>
    </row>
    <row r="551" spans="1:7" s="767" customFormat="1" ht="21.75" customHeight="1">
      <c r="A551" s="630"/>
      <c r="B551" s="647" t="s">
        <v>575</v>
      </c>
      <c r="C551" s="781"/>
      <c r="D551" s="782" t="s">
        <v>229</v>
      </c>
      <c r="E551" s="649">
        <f>SUM(E552,E553)</f>
        <v>0</v>
      </c>
      <c r="F551" s="649">
        <f>SUM(F552,F553)</f>
        <v>4063.58</v>
      </c>
      <c r="G551" s="641" t="s">
        <v>1195</v>
      </c>
    </row>
    <row r="552" spans="1:7" s="693" customFormat="1" ht="21.75" customHeight="1">
      <c r="A552" s="636"/>
      <c r="B552" s="651"/>
      <c r="C552" s="687" t="s">
        <v>987</v>
      </c>
      <c r="D552" s="692" t="s">
        <v>1160</v>
      </c>
      <c r="E552" s="653">
        <v>0</v>
      </c>
      <c r="F552" s="653">
        <v>4063.58</v>
      </c>
      <c r="G552" s="641" t="s">
        <v>1195</v>
      </c>
    </row>
    <row r="553" spans="1:7" s="693" customFormat="1" ht="67.5" customHeight="1" hidden="1">
      <c r="A553" s="636"/>
      <c r="B553" s="651"/>
      <c r="C553" s="724" t="s">
        <v>1567</v>
      </c>
      <c r="D553" s="655" t="s">
        <v>822</v>
      </c>
      <c r="E553" s="653">
        <v>0</v>
      </c>
      <c r="F553" s="653">
        <v>0</v>
      </c>
      <c r="G553" s="641" t="s">
        <v>1195</v>
      </c>
    </row>
    <row r="554" spans="1:7" s="456" customFormat="1" ht="21.75" customHeight="1" hidden="1">
      <c r="A554" s="377"/>
      <c r="B554" s="390" t="s">
        <v>586</v>
      </c>
      <c r="C554" s="458"/>
      <c r="D554" s="459" t="s">
        <v>387</v>
      </c>
      <c r="E554" s="392">
        <f>SUM(E555)</f>
        <v>0</v>
      </c>
      <c r="F554" s="392">
        <f>SUM(F555)</f>
        <v>0</v>
      </c>
      <c r="G554" s="380" t="e">
        <f t="shared" si="22"/>
        <v>#DIV/0!</v>
      </c>
    </row>
    <row r="555" spans="1:7" s="413" customFormat="1" ht="54" customHeight="1" hidden="1">
      <c r="A555" s="381"/>
      <c r="B555" s="394"/>
      <c r="C555" s="457">
        <v>2110</v>
      </c>
      <c r="D555" s="398" t="s">
        <v>1087</v>
      </c>
      <c r="E555" s="411">
        <v>0</v>
      </c>
      <c r="F555" s="396">
        <v>0</v>
      </c>
      <c r="G555" s="385" t="e">
        <f t="shared" si="22"/>
        <v>#DIV/0!</v>
      </c>
    </row>
    <row r="556" spans="1:7" s="767" customFormat="1" ht="20.25" customHeight="1">
      <c r="A556" s="630"/>
      <c r="B556" s="647" t="s">
        <v>769</v>
      </c>
      <c r="C556" s="781"/>
      <c r="D556" s="632" t="s">
        <v>770</v>
      </c>
      <c r="E556" s="777">
        <f>SUM(E557,E558,E559,E560,E561,E562,E563)</f>
        <v>182510.99</v>
      </c>
      <c r="F556" s="777">
        <f>SUM(F557,F558,F559,F560,F561,F562,F563)</f>
        <v>175937.85</v>
      </c>
      <c r="G556" s="634">
        <f t="shared" si="22"/>
        <v>96.39849633164556</v>
      </c>
    </row>
    <row r="557" spans="1:7" s="693" customFormat="1" ht="20.25" customHeight="1" hidden="1">
      <c r="A557" s="636"/>
      <c r="B557" s="651"/>
      <c r="C557" s="687" t="s">
        <v>989</v>
      </c>
      <c r="D557" s="639" t="s">
        <v>1157</v>
      </c>
      <c r="E557" s="689">
        <v>0</v>
      </c>
      <c r="F557" s="689">
        <v>0</v>
      </c>
      <c r="G557" s="634" t="e">
        <f t="shared" si="22"/>
        <v>#DIV/0!</v>
      </c>
    </row>
    <row r="558" spans="1:7" s="693" customFormat="1" ht="20.25" customHeight="1">
      <c r="A558" s="636"/>
      <c r="B558" s="651"/>
      <c r="C558" s="687" t="s">
        <v>987</v>
      </c>
      <c r="D558" s="655" t="s">
        <v>1160</v>
      </c>
      <c r="E558" s="689">
        <v>0</v>
      </c>
      <c r="F558" s="653">
        <v>2555.03</v>
      </c>
      <c r="G558" s="634" t="s">
        <v>1195</v>
      </c>
    </row>
    <row r="559" spans="1:7" s="772" customFormat="1" ht="53.25" customHeight="1">
      <c r="A559" s="656"/>
      <c r="B559" s="657"/>
      <c r="C559" s="1825" t="s">
        <v>551</v>
      </c>
      <c r="D559" s="1771" t="s">
        <v>206</v>
      </c>
      <c r="E559" s="1826">
        <v>40009</v>
      </c>
      <c r="F559" s="1775">
        <v>39821</v>
      </c>
      <c r="G559" s="1777">
        <f t="shared" si="22"/>
        <v>99.5301057262116</v>
      </c>
    </row>
    <row r="560" spans="1:7" s="772" customFormat="1" ht="30" customHeight="1">
      <c r="A560" s="656"/>
      <c r="B560" s="657"/>
      <c r="C560" s="1825" t="s">
        <v>566</v>
      </c>
      <c r="D560" s="1771" t="s">
        <v>1156</v>
      </c>
      <c r="E560" s="1826">
        <v>22331.99</v>
      </c>
      <c r="F560" s="1775">
        <v>22331.99</v>
      </c>
      <c r="G560" s="1777">
        <f t="shared" si="22"/>
        <v>100</v>
      </c>
    </row>
    <row r="561" spans="1:7" s="413" customFormat="1" ht="54.75" customHeight="1" hidden="1">
      <c r="A561" s="381"/>
      <c r="B561" s="394"/>
      <c r="C561" s="394" t="s">
        <v>976</v>
      </c>
      <c r="D561" s="398" t="s">
        <v>977</v>
      </c>
      <c r="E561" s="411">
        <v>0</v>
      </c>
      <c r="F561" s="396">
        <v>0</v>
      </c>
      <c r="G561" s="754" t="e">
        <f t="shared" si="22"/>
        <v>#DIV/0!</v>
      </c>
    </row>
    <row r="562" spans="1:7" s="693" customFormat="1" ht="54.75" customHeight="1">
      <c r="A562" s="636"/>
      <c r="B562" s="651"/>
      <c r="C562" s="677" t="s">
        <v>1108</v>
      </c>
      <c r="D562" s="785" t="s">
        <v>202</v>
      </c>
      <c r="E562" s="653">
        <v>120170</v>
      </c>
      <c r="F562" s="653">
        <v>111229.83</v>
      </c>
      <c r="G562" s="641">
        <f t="shared" si="22"/>
        <v>92.56039776982608</v>
      </c>
    </row>
    <row r="563" spans="1:7" s="413" customFormat="1" ht="63.75" customHeight="1" hidden="1">
      <c r="A563" s="381"/>
      <c r="B563" s="394"/>
      <c r="C563" s="404" t="s">
        <v>1567</v>
      </c>
      <c r="D563" s="435" t="s">
        <v>439</v>
      </c>
      <c r="E563" s="396">
        <v>0</v>
      </c>
      <c r="F563" s="396">
        <v>0</v>
      </c>
      <c r="G563" s="385" t="s">
        <v>1195</v>
      </c>
    </row>
    <row r="564" spans="1:7" s="693" customFormat="1" ht="24.75" customHeight="1">
      <c r="A564" s="630"/>
      <c r="B564" s="751" t="s">
        <v>550</v>
      </c>
      <c r="C564" s="771"/>
      <c r="D564" s="632" t="s">
        <v>1594</v>
      </c>
      <c r="E564" s="649">
        <f>SUM(E565:E566)</f>
        <v>318000</v>
      </c>
      <c r="F564" s="649">
        <f>SUM(F565:F566)</f>
        <v>319417.67</v>
      </c>
      <c r="G564" s="634">
        <f>F564/E564*100</f>
        <v>100.44580817610063</v>
      </c>
    </row>
    <row r="565" spans="1:7" s="768" customFormat="1" ht="54" customHeight="1">
      <c r="A565" s="636"/>
      <c r="B565" s="651"/>
      <c r="C565" s="774">
        <v>2110</v>
      </c>
      <c r="D565" s="655" t="s">
        <v>1087</v>
      </c>
      <c r="E565" s="653">
        <v>318000</v>
      </c>
      <c r="F565" s="653">
        <v>313604.45</v>
      </c>
      <c r="G565" s="641">
        <f>F565/E565*100</f>
        <v>98.61775157232705</v>
      </c>
    </row>
    <row r="566" spans="1:7" s="768" customFormat="1" ht="66.75" customHeight="1">
      <c r="A566" s="636"/>
      <c r="B566" s="651"/>
      <c r="C566" s="1827">
        <v>2910</v>
      </c>
      <c r="D566" s="659" t="s">
        <v>822</v>
      </c>
      <c r="E566" s="733">
        <v>0</v>
      </c>
      <c r="F566" s="733">
        <v>5813.22</v>
      </c>
      <c r="G566" s="662" t="s">
        <v>1195</v>
      </c>
    </row>
    <row r="567" spans="1:7" s="767" customFormat="1" ht="20.25" customHeight="1" hidden="1">
      <c r="A567" s="630"/>
      <c r="B567" s="647" t="s">
        <v>771</v>
      </c>
      <c r="C567" s="751"/>
      <c r="D567" s="632" t="s">
        <v>772</v>
      </c>
      <c r="E567" s="649">
        <f>SUM(E568)</f>
        <v>0</v>
      </c>
      <c r="F567" s="649">
        <f>SUM(F568)</f>
        <v>0</v>
      </c>
      <c r="G567" s="634" t="e">
        <f t="shared" si="22"/>
        <v>#DIV/0!</v>
      </c>
    </row>
    <row r="568" spans="1:7" s="693" customFormat="1" ht="31.5" customHeight="1" hidden="1">
      <c r="A568" s="636"/>
      <c r="B568" s="651"/>
      <c r="C568" s="687" t="s">
        <v>566</v>
      </c>
      <c r="D568" s="655" t="s">
        <v>1156</v>
      </c>
      <c r="E568" s="653">
        <v>0</v>
      </c>
      <c r="F568" s="653">
        <v>0</v>
      </c>
      <c r="G568" s="641" t="e">
        <f t="shared" si="22"/>
        <v>#DIV/0!</v>
      </c>
    </row>
    <row r="569" spans="1:7" s="693" customFormat="1" ht="39" customHeight="1">
      <c r="A569" s="630"/>
      <c r="B569" s="647" t="s">
        <v>736</v>
      </c>
      <c r="C569" s="751"/>
      <c r="D569" s="632" t="s">
        <v>737</v>
      </c>
      <c r="E569" s="649">
        <f>SUM(E570)</f>
        <v>0</v>
      </c>
      <c r="F569" s="649">
        <f>SUM(F570)</f>
        <v>3464.68</v>
      </c>
      <c r="G569" s="641" t="s">
        <v>1195</v>
      </c>
    </row>
    <row r="570" spans="1:7" s="654" customFormat="1" ht="19.5" customHeight="1">
      <c r="A570" s="679"/>
      <c r="B570" s="680"/>
      <c r="C570" s="681" t="s">
        <v>987</v>
      </c>
      <c r="D570" s="639" t="s">
        <v>1160</v>
      </c>
      <c r="E570" s="682">
        <v>0</v>
      </c>
      <c r="F570" s="682">
        <v>3464.68</v>
      </c>
      <c r="G570" s="641" t="s">
        <v>1195</v>
      </c>
    </row>
    <row r="571" spans="1:7" s="413" customFormat="1" ht="31.5" customHeight="1" hidden="1">
      <c r="A571" s="381"/>
      <c r="B571" s="394"/>
      <c r="C571" s="410" t="s">
        <v>566</v>
      </c>
      <c r="D571" s="398" t="s">
        <v>1156</v>
      </c>
      <c r="E571" s="396">
        <v>0</v>
      </c>
      <c r="F571" s="396"/>
      <c r="G571" s="385" t="e">
        <f>F571/E571*100</f>
        <v>#DIV/0!</v>
      </c>
    </row>
    <row r="572" spans="1:7" s="456" customFormat="1" ht="15.75" customHeight="1" hidden="1">
      <c r="A572" s="377"/>
      <c r="B572" s="390" t="s">
        <v>584</v>
      </c>
      <c r="C572" s="444"/>
      <c r="D572" s="378" t="s">
        <v>215</v>
      </c>
      <c r="E572" s="392">
        <f>SUM(E573)</f>
        <v>0</v>
      </c>
      <c r="F572" s="392">
        <f>SUM(F573)</f>
        <v>0</v>
      </c>
      <c r="G572" s="385" t="e">
        <f>F572/E572*100</f>
        <v>#DIV/0!</v>
      </c>
    </row>
    <row r="573" spans="1:7" s="413" customFormat="1" ht="53.25" customHeight="1" hidden="1">
      <c r="A573" s="381"/>
      <c r="B573" s="394"/>
      <c r="C573" s="410" t="s">
        <v>551</v>
      </c>
      <c r="D573" s="398" t="s">
        <v>1166</v>
      </c>
      <c r="E573" s="396">
        <v>0</v>
      </c>
      <c r="F573" s="396">
        <v>0</v>
      </c>
      <c r="G573" s="385" t="e">
        <f>F573/E573*100</f>
        <v>#DIV/0!</v>
      </c>
    </row>
    <row r="574" spans="1:7" s="693" customFormat="1" ht="32.25" customHeight="1">
      <c r="A574" s="624" t="s">
        <v>25</v>
      </c>
      <c r="B574" s="643"/>
      <c r="C574" s="643"/>
      <c r="D574" s="670" t="s">
        <v>451</v>
      </c>
      <c r="E574" s="645">
        <f>SUM(E575,E577,E579,E581,E583)</f>
        <v>188217</v>
      </c>
      <c r="F574" s="645">
        <f>SUM(F575,F577,F579,F581,F583)</f>
        <v>336417.46</v>
      </c>
      <c r="G574" s="628">
        <f t="shared" si="22"/>
        <v>178.7391468358331</v>
      </c>
    </row>
    <row r="575" spans="1:7" s="693" customFormat="1" ht="22.5" customHeight="1">
      <c r="A575" s="630"/>
      <c r="B575" s="751" t="s">
        <v>33</v>
      </c>
      <c r="C575" s="771"/>
      <c r="D575" s="632" t="s">
        <v>392</v>
      </c>
      <c r="E575" s="649">
        <f>E576</f>
        <v>35000</v>
      </c>
      <c r="F575" s="649">
        <f>F576</f>
        <v>35000</v>
      </c>
      <c r="G575" s="634">
        <f t="shared" si="22"/>
        <v>100</v>
      </c>
    </row>
    <row r="576" spans="1:7" s="768" customFormat="1" ht="54.75" customHeight="1">
      <c r="A576" s="636"/>
      <c r="B576" s="651"/>
      <c r="C576" s="774">
        <v>2110</v>
      </c>
      <c r="D576" s="655" t="s">
        <v>1087</v>
      </c>
      <c r="E576" s="653">
        <v>35000</v>
      </c>
      <c r="F576" s="653">
        <v>35000</v>
      </c>
      <c r="G576" s="641">
        <f t="shared" si="22"/>
        <v>100</v>
      </c>
    </row>
    <row r="577" spans="1:7" s="767" customFormat="1" ht="28.5" customHeight="1">
      <c r="A577" s="630"/>
      <c r="B577" s="647" t="s">
        <v>1675</v>
      </c>
      <c r="C577" s="781"/>
      <c r="D577" s="632" t="s">
        <v>1676</v>
      </c>
      <c r="E577" s="649">
        <f>SUM(E578)</f>
        <v>0</v>
      </c>
      <c r="F577" s="649">
        <f>SUM(F578)</f>
        <v>14424.26</v>
      </c>
      <c r="G577" s="634" t="s">
        <v>1195</v>
      </c>
    </row>
    <row r="578" spans="1:7" s="693" customFormat="1" ht="21" customHeight="1">
      <c r="A578" s="636"/>
      <c r="B578" s="651"/>
      <c r="C578" s="687" t="s">
        <v>987</v>
      </c>
      <c r="D578" s="655" t="s">
        <v>1160</v>
      </c>
      <c r="E578" s="653">
        <v>0</v>
      </c>
      <c r="F578" s="653">
        <v>14424.26</v>
      </c>
      <c r="G578" s="641" t="s">
        <v>1195</v>
      </c>
    </row>
    <row r="579" spans="1:7" s="693" customFormat="1" ht="19.5" customHeight="1">
      <c r="A579" s="630"/>
      <c r="B579" s="647" t="s">
        <v>1097</v>
      </c>
      <c r="C579" s="751"/>
      <c r="D579" s="632" t="s">
        <v>1098</v>
      </c>
      <c r="E579" s="649">
        <f>SUM(E580)</f>
        <v>66200</v>
      </c>
      <c r="F579" s="649">
        <f>SUM(F580)</f>
        <v>66200</v>
      </c>
      <c r="G579" s="634">
        <f t="shared" si="22"/>
        <v>100</v>
      </c>
    </row>
    <row r="580" spans="1:7" s="693" customFormat="1" ht="63" customHeight="1">
      <c r="A580" s="636"/>
      <c r="B580" s="651"/>
      <c r="C580" s="687" t="s">
        <v>231</v>
      </c>
      <c r="D580" s="655" t="s">
        <v>1194</v>
      </c>
      <c r="E580" s="653">
        <v>66200</v>
      </c>
      <c r="F580" s="653">
        <v>66200</v>
      </c>
      <c r="G580" s="641">
        <f t="shared" si="22"/>
        <v>100</v>
      </c>
    </row>
    <row r="581" spans="1:7" s="413" customFormat="1" ht="20.25" customHeight="1" hidden="1">
      <c r="A581" s="377"/>
      <c r="B581" s="390" t="s">
        <v>1619</v>
      </c>
      <c r="C581" s="444"/>
      <c r="D581" s="378" t="s">
        <v>1620</v>
      </c>
      <c r="E581" s="392">
        <f>SUM(E582)</f>
        <v>0</v>
      </c>
      <c r="F581" s="392">
        <f>SUM(F582)</f>
        <v>0</v>
      </c>
      <c r="G581" s="380" t="e">
        <f>F581/E581*100</f>
        <v>#DIV/0!</v>
      </c>
    </row>
    <row r="582" spans="1:7" s="413" customFormat="1" ht="63" customHeight="1" hidden="1">
      <c r="A582" s="381"/>
      <c r="B582" s="394"/>
      <c r="C582" s="457">
        <v>2110</v>
      </c>
      <c r="D582" s="398" t="s">
        <v>1087</v>
      </c>
      <c r="E582" s="396">
        <v>0</v>
      </c>
      <c r="F582" s="396">
        <v>0</v>
      </c>
      <c r="G582" s="385" t="e">
        <f>F582/E582*100</f>
        <v>#DIV/0!</v>
      </c>
    </row>
    <row r="583" spans="1:7" s="767" customFormat="1" ht="15.75" customHeight="1">
      <c r="A583" s="630"/>
      <c r="B583" s="647" t="s">
        <v>1099</v>
      </c>
      <c r="C583" s="751"/>
      <c r="D583" s="632" t="s">
        <v>215</v>
      </c>
      <c r="E583" s="649">
        <f>SUM(E584,E586,E588,E590)</f>
        <v>87017</v>
      </c>
      <c r="F583" s="649">
        <f>SUM(F584,F586,F588,F590)</f>
        <v>220793.2</v>
      </c>
      <c r="G583" s="641">
        <f t="shared" si="22"/>
        <v>253.73570681590954</v>
      </c>
    </row>
    <row r="584" spans="1:7" s="767" customFormat="1" ht="69.75" customHeight="1">
      <c r="A584" s="630"/>
      <c r="B584" s="647"/>
      <c r="C584" s="1840" t="s">
        <v>1093</v>
      </c>
      <c r="D584" s="659" t="s">
        <v>712</v>
      </c>
      <c r="E584" s="661">
        <v>0</v>
      </c>
      <c r="F584" s="661">
        <v>142411.46</v>
      </c>
      <c r="G584" s="662" t="s">
        <v>1195</v>
      </c>
    </row>
    <row r="585" spans="1:7" s="767" customFormat="1" ht="31.5" customHeight="1">
      <c r="A585" s="630"/>
      <c r="B585" s="647"/>
      <c r="C585" s="751"/>
      <c r="D585" s="1795" t="s">
        <v>1091</v>
      </c>
      <c r="E585" s="1822"/>
      <c r="F585" s="1822"/>
      <c r="G585" s="662"/>
    </row>
    <row r="586" spans="1:7" s="693" customFormat="1" ht="64.5" customHeight="1">
      <c r="A586" s="636"/>
      <c r="B586" s="651"/>
      <c r="C586" s="687" t="s">
        <v>536</v>
      </c>
      <c r="D586" s="639" t="s">
        <v>712</v>
      </c>
      <c r="E586" s="653">
        <v>73692</v>
      </c>
      <c r="F586" s="653">
        <v>72449.61</v>
      </c>
      <c r="G586" s="641">
        <f t="shared" si="22"/>
        <v>98.31407751180589</v>
      </c>
    </row>
    <row r="587" spans="1:7" s="693" customFormat="1" ht="28.5" customHeight="1">
      <c r="A587" s="636"/>
      <c r="B587" s="651"/>
      <c r="C587" s="687"/>
      <c r="D587" s="639" t="s">
        <v>111</v>
      </c>
      <c r="E587" s="653"/>
      <c r="F587" s="653"/>
      <c r="G587" s="641"/>
    </row>
    <row r="588" spans="1:7" s="413" customFormat="1" ht="70.5" customHeight="1">
      <c r="A588" s="381"/>
      <c r="B588" s="394"/>
      <c r="C588" s="1828" t="s">
        <v>1428</v>
      </c>
      <c r="D588" s="1829" t="s">
        <v>712</v>
      </c>
      <c r="E588" s="1830">
        <v>7201</v>
      </c>
      <c r="F588" s="1830">
        <v>5932.13</v>
      </c>
      <c r="G588" s="1831">
        <f>F588/E588*100</f>
        <v>82.37925288154423</v>
      </c>
    </row>
    <row r="589" spans="1:7" s="413" customFormat="1" ht="78" customHeight="1">
      <c r="A589" s="381"/>
      <c r="B589" s="394"/>
      <c r="C589" s="1828"/>
      <c r="D589" s="1829" t="s">
        <v>319</v>
      </c>
      <c r="E589" s="1832"/>
      <c r="F589" s="1832"/>
      <c r="G589" s="1831"/>
    </row>
    <row r="590" spans="1:7" s="413" customFormat="1" ht="69.75" customHeight="1">
      <c r="A590" s="381"/>
      <c r="B590" s="394"/>
      <c r="C590" s="1828" t="s">
        <v>345</v>
      </c>
      <c r="D590" s="1833" t="s">
        <v>347</v>
      </c>
      <c r="E590" s="1830">
        <v>6124</v>
      </c>
      <c r="F590" s="1830">
        <v>0</v>
      </c>
      <c r="G590" s="1831">
        <f>F590/E590*100</f>
        <v>0</v>
      </c>
    </row>
    <row r="591" spans="1:7" s="413" customFormat="1" ht="33.75" customHeight="1">
      <c r="A591" s="381"/>
      <c r="B591" s="394"/>
      <c r="C591" s="408"/>
      <c r="D591" s="1829" t="s">
        <v>111</v>
      </c>
      <c r="E591" s="409"/>
      <c r="F591" s="409"/>
      <c r="G591" s="385"/>
    </row>
    <row r="592" spans="1:7" s="456" customFormat="1" ht="21" customHeight="1">
      <c r="A592" s="375" t="s">
        <v>35</v>
      </c>
      <c r="B592" s="386"/>
      <c r="C592" s="386"/>
      <c r="D592" s="399" t="s">
        <v>38</v>
      </c>
      <c r="E592" s="388">
        <f>SUM(E593,E595,E597,E603)</f>
        <v>0</v>
      </c>
      <c r="F592" s="388">
        <f>SUM(F593,F595,F597,F603)</f>
        <v>561</v>
      </c>
      <c r="G592" s="385" t="s">
        <v>1195</v>
      </c>
    </row>
    <row r="593" spans="1:7" s="456" customFormat="1" ht="30" customHeight="1" hidden="1">
      <c r="A593" s="377"/>
      <c r="B593" s="390" t="s">
        <v>40</v>
      </c>
      <c r="C593" s="390"/>
      <c r="D593" s="378" t="s">
        <v>28</v>
      </c>
      <c r="E593" s="392">
        <f>SUM(E594)</f>
        <v>0</v>
      </c>
      <c r="F593" s="392">
        <f>SUM(F594)</f>
        <v>0</v>
      </c>
      <c r="G593" s="385" t="e">
        <f t="shared" si="22"/>
        <v>#DIV/0!</v>
      </c>
    </row>
    <row r="594" spans="1:7" s="456" customFormat="1" ht="33" customHeight="1" hidden="1">
      <c r="A594" s="381"/>
      <c r="B594" s="394"/>
      <c r="C594" s="394" t="s">
        <v>566</v>
      </c>
      <c r="D594" s="398" t="s">
        <v>1156</v>
      </c>
      <c r="E594" s="396">
        <v>0</v>
      </c>
      <c r="F594" s="396"/>
      <c r="G594" s="385" t="e">
        <f t="shared" si="22"/>
        <v>#DIV/0!</v>
      </c>
    </row>
    <row r="595" spans="1:7" s="456" customFormat="1" ht="20.25" customHeight="1" hidden="1">
      <c r="A595" s="377"/>
      <c r="B595" s="390" t="s">
        <v>85</v>
      </c>
      <c r="C595" s="390"/>
      <c r="D595" s="378" t="s">
        <v>466</v>
      </c>
      <c r="E595" s="392">
        <f>SUM(E596)</f>
        <v>0</v>
      </c>
      <c r="F595" s="392">
        <f>SUM(F596)</f>
        <v>0</v>
      </c>
      <c r="G595" s="385" t="e">
        <f t="shared" si="22"/>
        <v>#DIV/0!</v>
      </c>
    </row>
    <row r="596" spans="1:7" s="456" customFormat="1" ht="33" customHeight="1" hidden="1">
      <c r="A596" s="381"/>
      <c r="B596" s="394"/>
      <c r="C596" s="394" t="s">
        <v>566</v>
      </c>
      <c r="D596" s="398" t="s">
        <v>1156</v>
      </c>
      <c r="E596" s="396">
        <v>0</v>
      </c>
      <c r="F596" s="396"/>
      <c r="G596" s="385" t="e">
        <f t="shared" si="22"/>
        <v>#DIV/0!</v>
      </c>
    </row>
    <row r="597" spans="1:7" s="456" customFormat="1" ht="20.25" customHeight="1" hidden="1">
      <c r="A597" s="377"/>
      <c r="B597" s="390" t="s">
        <v>88</v>
      </c>
      <c r="C597" s="390"/>
      <c r="D597" s="378" t="s">
        <v>89</v>
      </c>
      <c r="E597" s="392">
        <f>SUM(E598,E599,E601)</f>
        <v>0</v>
      </c>
      <c r="F597" s="392">
        <f>SUM(F598,F599,F601)</f>
        <v>0</v>
      </c>
      <c r="G597" s="385" t="e">
        <f t="shared" si="22"/>
        <v>#DIV/0!</v>
      </c>
    </row>
    <row r="598" spans="1:7" s="456" customFormat="1" ht="30.75" customHeight="1" hidden="1">
      <c r="A598" s="381"/>
      <c r="B598" s="394"/>
      <c r="C598" s="394" t="s">
        <v>566</v>
      </c>
      <c r="D598" s="398" t="s">
        <v>1156</v>
      </c>
      <c r="E598" s="396">
        <v>0</v>
      </c>
      <c r="F598" s="396"/>
      <c r="G598" s="385" t="e">
        <f t="shared" si="22"/>
        <v>#DIV/0!</v>
      </c>
    </row>
    <row r="599" spans="1:7" s="413" customFormat="1" ht="67.5" customHeight="1" hidden="1">
      <c r="A599" s="381"/>
      <c r="B599" s="394"/>
      <c r="C599" s="394" t="s">
        <v>978</v>
      </c>
      <c r="D599" s="398" t="s">
        <v>980</v>
      </c>
      <c r="E599" s="396">
        <v>0</v>
      </c>
      <c r="F599" s="396">
        <v>0</v>
      </c>
      <c r="G599" s="385" t="e">
        <f t="shared" si="22"/>
        <v>#DIV/0!</v>
      </c>
    </row>
    <row r="600" spans="1:7" s="413" customFormat="1" ht="68.25" customHeight="1" hidden="1">
      <c r="A600" s="381"/>
      <c r="B600" s="394"/>
      <c r="C600" s="394"/>
      <c r="D600" s="398" t="s">
        <v>1398</v>
      </c>
      <c r="E600" s="396"/>
      <c r="F600" s="396"/>
      <c r="G600" s="385" t="e">
        <f t="shared" si="22"/>
        <v>#DIV/0!</v>
      </c>
    </row>
    <row r="601" spans="1:7" s="460" customFormat="1" ht="67.5" customHeight="1" hidden="1">
      <c r="A601" s="381"/>
      <c r="B601" s="394"/>
      <c r="C601" s="394" t="s">
        <v>979</v>
      </c>
      <c r="D601" s="398" t="s">
        <v>980</v>
      </c>
      <c r="E601" s="396">
        <v>0</v>
      </c>
      <c r="F601" s="396">
        <v>0</v>
      </c>
      <c r="G601" s="385" t="e">
        <f t="shared" si="22"/>
        <v>#DIV/0!</v>
      </c>
    </row>
    <row r="602" spans="1:7" s="413" customFormat="1" ht="79.5" customHeight="1" hidden="1">
      <c r="A602" s="381"/>
      <c r="B602" s="394"/>
      <c r="C602" s="394"/>
      <c r="D602" s="398" t="s">
        <v>1403</v>
      </c>
      <c r="E602" s="396"/>
      <c r="F602" s="396"/>
      <c r="G602" s="385" t="e">
        <f t="shared" si="22"/>
        <v>#DIV/0!</v>
      </c>
    </row>
    <row r="603" spans="1:7" s="456" customFormat="1" ht="21" customHeight="1">
      <c r="A603" s="377"/>
      <c r="B603" s="390" t="s">
        <v>471</v>
      </c>
      <c r="C603" s="390"/>
      <c r="D603" s="378" t="s">
        <v>215</v>
      </c>
      <c r="E603" s="379">
        <f>SUM(E604,E605,E606)</f>
        <v>0</v>
      </c>
      <c r="F603" s="379">
        <f>SUM(F604,F605,F606)</f>
        <v>561</v>
      </c>
      <c r="G603" s="385" t="s">
        <v>1195</v>
      </c>
    </row>
    <row r="604" spans="1:7" s="456" customFormat="1" ht="21" customHeight="1">
      <c r="A604" s="377"/>
      <c r="B604" s="390"/>
      <c r="C604" s="394" t="s">
        <v>987</v>
      </c>
      <c r="D604" s="398" t="s">
        <v>1094</v>
      </c>
      <c r="E604" s="384">
        <v>0</v>
      </c>
      <c r="F604" s="384">
        <v>561</v>
      </c>
      <c r="G604" s="385" t="s">
        <v>1195</v>
      </c>
    </row>
    <row r="605" spans="1:7" s="413" customFormat="1" ht="30" customHeight="1" hidden="1">
      <c r="A605" s="381"/>
      <c r="B605" s="394"/>
      <c r="C605" s="394" t="s">
        <v>566</v>
      </c>
      <c r="D605" s="398" t="s">
        <v>1156</v>
      </c>
      <c r="E605" s="384">
        <v>0</v>
      </c>
      <c r="F605" s="384"/>
      <c r="G605" s="385" t="e">
        <f t="shared" si="22"/>
        <v>#DIV/0!</v>
      </c>
    </row>
    <row r="606" spans="1:7" s="413" customFormat="1" ht="44.25" customHeight="1" hidden="1">
      <c r="A606" s="381"/>
      <c r="B606" s="394"/>
      <c r="C606" s="394" t="s">
        <v>105</v>
      </c>
      <c r="D606" s="398" t="s">
        <v>1246</v>
      </c>
      <c r="E606" s="384">
        <v>0</v>
      </c>
      <c r="F606" s="384"/>
      <c r="G606" s="385" t="e">
        <f t="shared" si="22"/>
        <v>#DIV/0!</v>
      </c>
    </row>
    <row r="607" spans="1:7" s="693" customFormat="1" ht="26.25" customHeight="1">
      <c r="A607" s="624" t="s">
        <v>91</v>
      </c>
      <c r="B607" s="643"/>
      <c r="C607" s="643"/>
      <c r="D607" s="670" t="s">
        <v>1208</v>
      </c>
      <c r="E607" s="645">
        <f>SUM(E608,E610,E612)</f>
        <v>200000</v>
      </c>
      <c r="F607" s="645">
        <f>SUM(F608,F610,F612)</f>
        <v>177381.87</v>
      </c>
      <c r="G607" s="628">
        <f t="shared" si="22"/>
        <v>88.690935</v>
      </c>
    </row>
    <row r="608" spans="1:7" s="767" customFormat="1" ht="20.25" customHeight="1" hidden="1">
      <c r="A608" s="630"/>
      <c r="B608" s="647" t="s">
        <v>548</v>
      </c>
      <c r="C608" s="751"/>
      <c r="D608" s="632" t="s">
        <v>549</v>
      </c>
      <c r="E608" s="664">
        <f>SUM(E609)</f>
        <v>0</v>
      </c>
      <c r="F608" s="649">
        <f>SUM(F609)</f>
        <v>0</v>
      </c>
      <c r="G608" s="634" t="e">
        <f t="shared" si="22"/>
        <v>#DIV/0!</v>
      </c>
    </row>
    <row r="609" spans="1:7" s="767" customFormat="1" ht="21" customHeight="1" hidden="1">
      <c r="A609" s="786"/>
      <c r="B609" s="677"/>
      <c r="C609" s="787" t="s">
        <v>987</v>
      </c>
      <c r="D609" s="785" t="s">
        <v>1160</v>
      </c>
      <c r="E609" s="653">
        <v>0</v>
      </c>
      <c r="F609" s="666">
        <v>0</v>
      </c>
      <c r="G609" s="676" t="e">
        <f t="shared" si="22"/>
        <v>#DIV/0!</v>
      </c>
    </row>
    <row r="610" spans="1:7" s="767" customFormat="1" ht="18" customHeight="1">
      <c r="A610" s="788"/>
      <c r="B610" s="678" t="s">
        <v>93</v>
      </c>
      <c r="C610" s="789"/>
      <c r="D610" s="742" t="s">
        <v>94</v>
      </c>
      <c r="E610" s="649">
        <f>SUM(E611)</f>
        <v>0</v>
      </c>
      <c r="F610" s="664">
        <f>SUM(F611)</f>
        <v>7428.81</v>
      </c>
      <c r="G610" s="665" t="s">
        <v>1195</v>
      </c>
    </row>
    <row r="611" spans="1:7" s="767" customFormat="1" ht="15.75" customHeight="1">
      <c r="A611" s="786"/>
      <c r="B611" s="677"/>
      <c r="C611" s="787" t="s">
        <v>987</v>
      </c>
      <c r="D611" s="785" t="s">
        <v>1160</v>
      </c>
      <c r="E611" s="666">
        <v>0</v>
      </c>
      <c r="F611" s="666">
        <v>7428.81</v>
      </c>
      <c r="G611" s="676" t="s">
        <v>1195</v>
      </c>
    </row>
    <row r="612" spans="1:7" s="767" customFormat="1" ht="24.75" customHeight="1">
      <c r="A612" s="788"/>
      <c r="B612" s="678" t="s">
        <v>1732</v>
      </c>
      <c r="C612" s="789"/>
      <c r="D612" s="742" t="s">
        <v>1396</v>
      </c>
      <c r="E612" s="649">
        <f>SUM(E613)</f>
        <v>200000</v>
      </c>
      <c r="F612" s="664">
        <f>SUM(F613)</f>
        <v>169953.06</v>
      </c>
      <c r="G612" s="665">
        <f t="shared" si="22"/>
        <v>84.97653</v>
      </c>
    </row>
    <row r="613" spans="1:7" s="767" customFormat="1" ht="21" customHeight="1" thickBot="1">
      <c r="A613" s="790"/>
      <c r="B613" s="791"/>
      <c r="C613" s="792" t="s">
        <v>989</v>
      </c>
      <c r="D613" s="793" t="s">
        <v>1157</v>
      </c>
      <c r="E613" s="794">
        <v>200000</v>
      </c>
      <c r="F613" s="794">
        <v>169953.06</v>
      </c>
      <c r="G613" s="676">
        <f t="shared" si="22"/>
        <v>84.97653</v>
      </c>
    </row>
    <row r="614" spans="1:7" s="797" customFormat="1" ht="21" customHeight="1" thickBot="1">
      <c r="A614" s="1992" t="s">
        <v>41</v>
      </c>
      <c r="B614" s="1993"/>
      <c r="C614" s="1993"/>
      <c r="D614" s="1994"/>
      <c r="E614" s="795">
        <f>SUM(E7,E438)</f>
        <v>220041184.56</v>
      </c>
      <c r="F614" s="795">
        <f>SUM(F7,F438)</f>
        <v>215495987.94</v>
      </c>
      <c r="G614" s="796">
        <f>F614/E614*100</f>
        <v>97.93438822414599</v>
      </c>
    </row>
    <row r="615" spans="1:7" s="646" customFormat="1" ht="19.5" customHeight="1" hidden="1">
      <c r="A615" s="798"/>
      <c r="B615" s="798"/>
      <c r="C615" s="798"/>
      <c r="D615" s="799" t="s">
        <v>42</v>
      </c>
      <c r="E615" s="609">
        <v>220874066.78</v>
      </c>
      <c r="F615" s="609">
        <v>215384427.27</v>
      </c>
      <c r="G615" s="800"/>
    </row>
    <row r="616" spans="1:7" s="646" customFormat="1" ht="19.5" customHeight="1" hidden="1">
      <c r="A616" s="798"/>
      <c r="B616" s="798"/>
      <c r="C616" s="798"/>
      <c r="D616" s="799" t="s">
        <v>43</v>
      </c>
      <c r="E616" s="801">
        <f>E615-E614</f>
        <v>832882.2199999988</v>
      </c>
      <c r="F616" s="801">
        <f>F615-F614</f>
        <v>-111560.66999998689</v>
      </c>
      <c r="G616" s="800"/>
    </row>
    <row r="617" spans="1:7" s="397" customFormat="1" ht="19.5" customHeight="1">
      <c r="A617" s="461"/>
      <c r="B617" s="461"/>
      <c r="C617" s="461"/>
      <c r="D617" s="462"/>
      <c r="E617" s="440"/>
      <c r="F617" s="463"/>
      <c r="G617" s="464"/>
    </row>
    <row r="618" spans="1:7" s="397" customFormat="1" ht="19.5" customHeight="1">
      <c r="A618" s="461"/>
      <c r="B618" s="461"/>
      <c r="C618" s="461"/>
      <c r="D618" s="462"/>
      <c r="E618" s="440"/>
      <c r="F618" s="440"/>
      <c r="G618" s="464"/>
    </row>
    <row r="619" spans="1:6" ht="19.5" customHeight="1">
      <c r="A619" s="439"/>
      <c r="B619" s="439"/>
      <c r="C619" s="439"/>
      <c r="D619" s="465"/>
      <c r="E619" s="466"/>
      <c r="F619" s="467"/>
    </row>
    <row r="620" spans="1:6" ht="19.5" customHeight="1">
      <c r="A620" s="439"/>
      <c r="B620" s="439"/>
      <c r="C620" s="439"/>
      <c r="D620" s="465"/>
      <c r="E620" s="466"/>
      <c r="F620" s="467"/>
    </row>
    <row r="621" spans="1:6" ht="19.5" customHeight="1">
      <c r="A621" s="439"/>
      <c r="B621" s="439"/>
      <c r="C621" s="439"/>
      <c r="D621" s="465"/>
      <c r="E621" s="466"/>
      <c r="F621" s="467"/>
    </row>
    <row r="622" spans="1:6" ht="19.5" customHeight="1">
      <c r="A622" s="439"/>
      <c r="B622" s="439"/>
      <c r="C622" s="439"/>
      <c r="D622" s="465"/>
      <c r="E622" s="466"/>
      <c r="F622" s="467"/>
    </row>
    <row r="623" spans="1:6" ht="19.5" customHeight="1">
      <c r="A623" s="439"/>
      <c r="B623" s="439"/>
      <c r="C623" s="439"/>
      <c r="D623" s="465"/>
      <c r="E623" s="466"/>
      <c r="F623" s="467"/>
    </row>
    <row r="624" spans="1:6" ht="19.5" customHeight="1">
      <c r="A624" s="439"/>
      <c r="B624" s="439"/>
      <c r="C624" s="439"/>
      <c r="D624" s="465"/>
      <c r="E624" s="466"/>
      <c r="F624" s="467"/>
    </row>
    <row r="625" spans="1:6" ht="19.5" customHeight="1">
      <c r="A625" s="439"/>
      <c r="B625" s="439"/>
      <c r="C625" s="439"/>
      <c r="D625" s="465"/>
      <c r="E625" s="466"/>
      <c r="F625" s="467"/>
    </row>
    <row r="626" spans="1:6" ht="19.5" customHeight="1">
      <c r="A626" s="439"/>
      <c r="B626" s="439"/>
      <c r="C626" s="439"/>
      <c r="D626" s="465"/>
      <c r="E626" s="466"/>
      <c r="F626" s="467"/>
    </row>
    <row r="627" spans="1:6" ht="19.5" customHeight="1">
      <c r="A627" s="439"/>
      <c r="B627" s="439"/>
      <c r="C627" s="439"/>
      <c r="D627" s="465"/>
      <c r="E627" s="466"/>
      <c r="F627" s="467"/>
    </row>
    <row r="628" spans="1:6" ht="19.5" customHeight="1">
      <c r="A628" s="439"/>
      <c r="B628" s="439"/>
      <c r="C628" s="439"/>
      <c r="D628" s="465"/>
      <c r="E628" s="466"/>
      <c r="F628" s="467"/>
    </row>
    <row r="629" spans="1:9" ht="19.5" customHeight="1">
      <c r="A629" s="439"/>
      <c r="B629" s="439"/>
      <c r="C629" s="439"/>
      <c r="D629" s="465"/>
      <c r="E629" s="466"/>
      <c r="F629" s="467"/>
      <c r="I629" s="469"/>
    </row>
    <row r="630" spans="1:6" ht="19.5" customHeight="1">
      <c r="A630" s="439"/>
      <c r="B630" s="439"/>
      <c r="C630" s="439"/>
      <c r="D630" s="465"/>
      <c r="E630" s="466"/>
      <c r="F630" s="467"/>
    </row>
    <row r="631" spans="1:6" ht="19.5" customHeight="1">
      <c r="A631" s="439"/>
      <c r="B631" s="439"/>
      <c r="C631" s="439"/>
      <c r="D631" s="465"/>
      <c r="E631" s="466"/>
      <c r="F631" s="467"/>
    </row>
    <row r="632" spans="1:6" ht="19.5" customHeight="1">
      <c r="A632" s="439"/>
      <c r="B632" s="439"/>
      <c r="C632" s="439"/>
      <c r="D632" s="465"/>
      <c r="E632" s="466"/>
      <c r="F632" s="467"/>
    </row>
    <row r="633" spans="1:6" ht="19.5" customHeight="1">
      <c r="A633" s="439"/>
      <c r="B633" s="439"/>
      <c r="C633" s="439"/>
      <c r="D633" s="465"/>
      <c r="E633" s="466"/>
      <c r="F633" s="467"/>
    </row>
    <row r="634" spans="1:6" ht="19.5" customHeight="1">
      <c r="A634" s="439"/>
      <c r="B634" s="439"/>
      <c r="C634" s="439"/>
      <c r="D634" s="465"/>
      <c r="E634" s="466"/>
      <c r="F634" s="467"/>
    </row>
    <row r="635" spans="1:6" ht="19.5" customHeight="1">
      <c r="A635" s="439"/>
      <c r="B635" s="439"/>
      <c r="C635" s="439"/>
      <c r="D635" s="465"/>
      <c r="E635" s="466"/>
      <c r="F635" s="467"/>
    </row>
    <row r="636" spans="1:6" ht="19.5" customHeight="1">
      <c r="A636" s="439"/>
      <c r="B636" s="439"/>
      <c r="C636" s="439"/>
      <c r="D636" s="465"/>
      <c r="E636" s="466"/>
      <c r="F636" s="467"/>
    </row>
    <row r="637" spans="1:6" ht="19.5" customHeight="1">
      <c r="A637" s="439"/>
      <c r="B637" s="439"/>
      <c r="C637" s="439"/>
      <c r="D637" s="465"/>
      <c r="E637" s="466"/>
      <c r="F637" s="467"/>
    </row>
    <row r="638" spans="1:6" ht="19.5" customHeight="1">
      <c r="A638" s="439"/>
      <c r="B638" s="439"/>
      <c r="C638" s="439"/>
      <c r="D638" s="465"/>
      <c r="E638" s="466"/>
      <c r="F638" s="467"/>
    </row>
    <row r="639" spans="1:6" ht="19.5" customHeight="1">
      <c r="A639" s="439"/>
      <c r="B639" s="439"/>
      <c r="C639" s="439"/>
      <c r="D639" s="465"/>
      <c r="E639" s="466"/>
      <c r="F639" s="467"/>
    </row>
    <row r="640" spans="1:6" ht="19.5" customHeight="1">
      <c r="A640" s="439"/>
      <c r="B640" s="439"/>
      <c r="C640" s="439"/>
      <c r="D640" s="465"/>
      <c r="E640" s="466"/>
      <c r="F640" s="467"/>
    </row>
    <row r="641" spans="1:6" ht="19.5" customHeight="1">
      <c r="A641" s="439"/>
      <c r="B641" s="439"/>
      <c r="C641" s="439"/>
      <c r="D641" s="465"/>
      <c r="E641" s="466"/>
      <c r="F641" s="467"/>
    </row>
    <row r="642" spans="1:6" ht="19.5" customHeight="1">
      <c r="A642" s="439"/>
      <c r="B642" s="439"/>
      <c r="C642" s="439"/>
      <c r="D642" s="465"/>
      <c r="E642" s="466"/>
      <c r="F642" s="467"/>
    </row>
    <row r="643" spans="1:6" ht="19.5" customHeight="1">
      <c r="A643" s="439"/>
      <c r="B643" s="439"/>
      <c r="C643" s="439"/>
      <c r="D643" s="465"/>
      <c r="E643" s="466"/>
      <c r="F643" s="467"/>
    </row>
    <row r="644" spans="1:6" ht="19.5" customHeight="1">
      <c r="A644" s="439"/>
      <c r="B644" s="439"/>
      <c r="C644" s="439"/>
      <c r="D644" s="465"/>
      <c r="E644" s="466"/>
      <c r="F644" s="467"/>
    </row>
    <row r="645" spans="1:6" ht="19.5" customHeight="1">
      <c r="A645" s="439"/>
      <c r="B645" s="439"/>
      <c r="C645" s="439"/>
      <c r="D645" s="465"/>
      <c r="E645" s="466"/>
      <c r="F645" s="467"/>
    </row>
    <row r="646" spans="1:6" ht="19.5" customHeight="1">
      <c r="A646" s="439"/>
      <c r="B646" s="439"/>
      <c r="C646" s="439"/>
      <c r="D646" s="465"/>
      <c r="E646" s="466"/>
      <c r="F646" s="467"/>
    </row>
    <row r="647" spans="1:6" ht="19.5" customHeight="1">
      <c r="A647" s="439"/>
      <c r="B647" s="439"/>
      <c r="C647" s="439"/>
      <c r="D647" s="465"/>
      <c r="E647" s="466"/>
      <c r="F647" s="467"/>
    </row>
    <row r="648" spans="1:6" ht="19.5" customHeight="1">
      <c r="A648" s="439"/>
      <c r="B648" s="439"/>
      <c r="C648" s="439"/>
      <c r="D648" s="465"/>
      <c r="E648" s="466"/>
      <c r="F648" s="467"/>
    </row>
    <row r="649" spans="1:6" ht="19.5" customHeight="1">
      <c r="A649" s="439"/>
      <c r="B649" s="439"/>
      <c r="C649" s="439"/>
      <c r="D649" s="465"/>
      <c r="E649" s="466"/>
      <c r="F649" s="467"/>
    </row>
    <row r="650" spans="1:6" ht="19.5" customHeight="1">
      <c r="A650" s="439"/>
      <c r="B650" s="439"/>
      <c r="C650" s="439"/>
      <c r="D650" s="465"/>
      <c r="E650" s="466"/>
      <c r="F650" s="467"/>
    </row>
    <row r="651" spans="1:6" ht="19.5" customHeight="1">
      <c r="A651" s="439"/>
      <c r="B651" s="439"/>
      <c r="C651" s="439"/>
      <c r="D651" s="465"/>
      <c r="E651" s="466"/>
      <c r="F651" s="467"/>
    </row>
    <row r="652" spans="1:6" ht="19.5" customHeight="1">
      <c r="A652" s="439"/>
      <c r="B652" s="439"/>
      <c r="C652" s="439"/>
      <c r="D652" s="465"/>
      <c r="E652" s="466"/>
      <c r="F652" s="467"/>
    </row>
    <row r="653" spans="1:6" ht="19.5" customHeight="1">
      <c r="A653" s="439"/>
      <c r="B653" s="439"/>
      <c r="C653" s="439"/>
      <c r="D653" s="465"/>
      <c r="E653" s="466"/>
      <c r="F653" s="467"/>
    </row>
    <row r="654" spans="1:6" ht="19.5" customHeight="1">
      <c r="A654" s="439"/>
      <c r="B654" s="439"/>
      <c r="C654" s="439"/>
      <c r="D654" s="465"/>
      <c r="E654" s="466"/>
      <c r="F654" s="467"/>
    </row>
    <row r="655" spans="1:6" ht="19.5" customHeight="1">
      <c r="A655" s="439"/>
      <c r="B655" s="439"/>
      <c r="C655" s="439"/>
      <c r="D655" s="465"/>
      <c r="E655" s="466"/>
      <c r="F655" s="467"/>
    </row>
    <row r="656" spans="1:6" ht="19.5" customHeight="1">
      <c r="A656" s="439"/>
      <c r="B656" s="439"/>
      <c r="C656" s="439"/>
      <c r="D656" s="465"/>
      <c r="E656" s="466"/>
      <c r="F656" s="467"/>
    </row>
    <row r="657" spans="1:6" ht="19.5" customHeight="1">
      <c r="A657" s="439"/>
      <c r="B657" s="439"/>
      <c r="C657" s="439"/>
      <c r="D657" s="465"/>
      <c r="E657" s="466"/>
      <c r="F657" s="467"/>
    </row>
    <row r="658" spans="1:6" ht="19.5" customHeight="1">
      <c r="A658" s="439"/>
      <c r="B658" s="439"/>
      <c r="C658" s="439"/>
      <c r="D658" s="465"/>
      <c r="E658" s="466"/>
      <c r="F658" s="467"/>
    </row>
    <row r="659" spans="1:6" ht="19.5" customHeight="1">
      <c r="A659" s="439"/>
      <c r="B659" s="439"/>
      <c r="C659" s="439"/>
      <c r="D659" s="465"/>
      <c r="E659" s="466"/>
      <c r="F659" s="467"/>
    </row>
    <row r="660" spans="1:6" ht="19.5" customHeight="1">
      <c r="A660" s="439"/>
      <c r="B660" s="439"/>
      <c r="C660" s="439"/>
      <c r="D660" s="465"/>
      <c r="E660" s="466"/>
      <c r="F660" s="467"/>
    </row>
    <row r="661" spans="1:6" ht="19.5" customHeight="1">
      <c r="A661" s="439"/>
      <c r="B661" s="439"/>
      <c r="C661" s="439"/>
      <c r="D661" s="465"/>
      <c r="E661" s="466"/>
      <c r="F661" s="467"/>
    </row>
    <row r="662" spans="1:6" ht="19.5" customHeight="1">
      <c r="A662" s="439"/>
      <c r="B662" s="439"/>
      <c r="C662" s="439"/>
      <c r="D662" s="465"/>
      <c r="E662" s="466"/>
      <c r="F662" s="467"/>
    </row>
    <row r="663" spans="1:6" ht="19.5" customHeight="1">
      <c r="A663" s="439"/>
      <c r="B663" s="439"/>
      <c r="C663" s="439"/>
      <c r="D663" s="465"/>
      <c r="E663" s="466"/>
      <c r="F663" s="467"/>
    </row>
    <row r="664" spans="1:6" ht="19.5" customHeight="1">
      <c r="A664" s="439"/>
      <c r="B664" s="439"/>
      <c r="C664" s="439"/>
      <c r="D664" s="465"/>
      <c r="E664" s="466"/>
      <c r="F664" s="467"/>
    </row>
    <row r="665" spans="1:6" ht="19.5" customHeight="1">
      <c r="A665" s="439"/>
      <c r="B665" s="439"/>
      <c r="C665" s="439"/>
      <c r="D665" s="465"/>
      <c r="E665" s="466"/>
      <c r="F665" s="467"/>
    </row>
    <row r="666" spans="1:6" ht="19.5" customHeight="1">
      <c r="A666" s="439"/>
      <c r="B666" s="439"/>
      <c r="C666" s="439"/>
      <c r="D666" s="465"/>
      <c r="E666" s="466"/>
      <c r="F666" s="467"/>
    </row>
    <row r="667" spans="1:6" ht="19.5" customHeight="1">
      <c r="A667" s="439"/>
      <c r="B667" s="439"/>
      <c r="C667" s="439"/>
      <c r="D667" s="465"/>
      <c r="E667" s="466"/>
      <c r="F667" s="467"/>
    </row>
    <row r="668" spans="1:6" ht="19.5" customHeight="1">
      <c r="A668" s="439"/>
      <c r="B668" s="439"/>
      <c r="C668" s="439"/>
      <c r="D668" s="465"/>
      <c r="E668" s="466"/>
      <c r="F668" s="467"/>
    </row>
    <row r="669" spans="1:6" ht="19.5" customHeight="1">
      <c r="A669" s="439"/>
      <c r="B669" s="439"/>
      <c r="C669" s="439"/>
      <c r="D669" s="465"/>
      <c r="E669" s="466"/>
      <c r="F669" s="467"/>
    </row>
    <row r="670" spans="1:6" ht="19.5" customHeight="1">
      <c r="A670" s="439"/>
      <c r="B670" s="439"/>
      <c r="C670" s="439"/>
      <c r="D670" s="465"/>
      <c r="E670" s="466"/>
      <c r="F670" s="467"/>
    </row>
    <row r="671" spans="1:6" ht="19.5" customHeight="1">
      <c r="A671" s="439"/>
      <c r="B671" s="439"/>
      <c r="C671" s="439"/>
      <c r="D671" s="465"/>
      <c r="E671" s="466"/>
      <c r="F671" s="467"/>
    </row>
    <row r="672" spans="1:6" ht="19.5" customHeight="1">
      <c r="A672" s="439"/>
      <c r="B672" s="439"/>
      <c r="C672" s="439"/>
      <c r="D672" s="465"/>
      <c r="E672" s="466"/>
      <c r="F672" s="467"/>
    </row>
    <row r="673" spans="1:6" ht="19.5" customHeight="1">
      <c r="A673" s="439"/>
      <c r="B673" s="439"/>
      <c r="C673" s="439"/>
      <c r="D673" s="465"/>
      <c r="E673" s="466"/>
      <c r="F673" s="467"/>
    </row>
    <row r="674" spans="1:6" ht="19.5" customHeight="1">
      <c r="A674" s="439"/>
      <c r="B674" s="439"/>
      <c r="C674" s="439"/>
      <c r="D674" s="465"/>
      <c r="E674" s="466"/>
      <c r="F674" s="467"/>
    </row>
    <row r="675" spans="1:6" ht="19.5" customHeight="1">
      <c r="A675" s="439"/>
      <c r="B675" s="439"/>
      <c r="C675" s="439"/>
      <c r="D675" s="465"/>
      <c r="E675" s="466"/>
      <c r="F675" s="467"/>
    </row>
    <row r="676" spans="1:6" ht="19.5" customHeight="1">
      <c r="A676" s="439"/>
      <c r="B676" s="439"/>
      <c r="C676" s="439"/>
      <c r="D676" s="465"/>
      <c r="E676" s="466"/>
      <c r="F676" s="467"/>
    </row>
    <row r="677" spans="1:6" ht="19.5" customHeight="1">
      <c r="A677" s="439"/>
      <c r="B677" s="439"/>
      <c r="C677" s="439"/>
      <c r="D677" s="465"/>
      <c r="E677" s="466"/>
      <c r="F677" s="467"/>
    </row>
    <row r="678" spans="1:6" ht="19.5" customHeight="1">
      <c r="A678" s="439"/>
      <c r="B678" s="439"/>
      <c r="C678" s="439"/>
      <c r="D678" s="465"/>
      <c r="E678" s="466"/>
      <c r="F678" s="467"/>
    </row>
    <row r="679" spans="1:6" ht="19.5" customHeight="1">
      <c r="A679" s="439"/>
      <c r="B679" s="439"/>
      <c r="C679" s="439"/>
      <c r="D679" s="465"/>
      <c r="E679" s="466"/>
      <c r="F679" s="467"/>
    </row>
    <row r="680" spans="1:6" ht="19.5" customHeight="1">
      <c r="A680" s="439"/>
      <c r="B680" s="439"/>
      <c r="C680" s="439"/>
      <c r="D680" s="465"/>
      <c r="E680" s="466"/>
      <c r="F680" s="467"/>
    </row>
    <row r="681" spans="1:6" ht="19.5" customHeight="1">
      <c r="A681" s="439"/>
      <c r="B681" s="439"/>
      <c r="C681" s="439"/>
      <c r="D681" s="465"/>
      <c r="E681" s="466"/>
      <c r="F681" s="467"/>
    </row>
    <row r="682" spans="1:6" ht="19.5" customHeight="1">
      <c r="A682" s="439"/>
      <c r="B682" s="439"/>
      <c r="C682" s="439"/>
      <c r="D682" s="465"/>
      <c r="E682" s="466"/>
      <c r="F682" s="467"/>
    </row>
    <row r="683" spans="1:6" ht="19.5" customHeight="1">
      <c r="A683" s="439"/>
      <c r="B683" s="439"/>
      <c r="C683" s="439"/>
      <c r="D683" s="465"/>
      <c r="E683" s="466"/>
      <c r="F683" s="467"/>
    </row>
    <row r="684" spans="1:6" ht="19.5" customHeight="1">
      <c r="A684" s="439"/>
      <c r="B684" s="439"/>
      <c r="C684" s="439"/>
      <c r="D684" s="465"/>
      <c r="E684" s="466"/>
      <c r="F684" s="467"/>
    </row>
    <row r="685" spans="1:6" ht="19.5" customHeight="1">
      <c r="A685" s="439"/>
      <c r="B685" s="439"/>
      <c r="C685" s="439"/>
      <c r="D685" s="465"/>
      <c r="E685" s="466"/>
      <c r="F685" s="467"/>
    </row>
    <row r="686" spans="1:6" ht="19.5" customHeight="1">
      <c r="A686" s="439"/>
      <c r="B686" s="439"/>
      <c r="C686" s="439"/>
      <c r="D686" s="465"/>
      <c r="E686" s="466"/>
      <c r="F686" s="467"/>
    </row>
    <row r="687" spans="1:6" ht="19.5" customHeight="1">
      <c r="A687" s="439"/>
      <c r="B687" s="439"/>
      <c r="C687" s="439"/>
      <c r="D687" s="465"/>
      <c r="E687" s="466"/>
      <c r="F687" s="467"/>
    </row>
    <row r="688" spans="1:6" ht="19.5" customHeight="1">
      <c r="A688" s="439"/>
      <c r="B688" s="439"/>
      <c r="C688" s="439"/>
      <c r="D688" s="465"/>
      <c r="E688" s="466"/>
      <c r="F688" s="467"/>
    </row>
    <row r="689" spans="1:6" ht="19.5" customHeight="1">
      <c r="A689" s="439"/>
      <c r="B689" s="439"/>
      <c r="C689" s="439"/>
      <c r="D689" s="465"/>
      <c r="E689" s="466"/>
      <c r="F689" s="467"/>
    </row>
    <row r="690" spans="1:6" ht="19.5" customHeight="1">
      <c r="A690" s="439"/>
      <c r="B690" s="439"/>
      <c r="C690" s="439"/>
      <c r="D690" s="465"/>
      <c r="E690" s="466"/>
      <c r="F690" s="467"/>
    </row>
    <row r="691" spans="1:6" ht="19.5" customHeight="1">
      <c r="A691" s="439"/>
      <c r="B691" s="439"/>
      <c r="C691" s="439"/>
      <c r="D691" s="465"/>
      <c r="E691" s="466"/>
      <c r="F691" s="467"/>
    </row>
    <row r="692" spans="1:6" ht="19.5" customHeight="1">
      <c r="A692" s="439"/>
      <c r="B692" s="439"/>
      <c r="C692" s="439"/>
      <c r="D692" s="465"/>
      <c r="E692" s="466"/>
      <c r="F692" s="467"/>
    </row>
    <row r="693" spans="1:6" ht="19.5" customHeight="1">
      <c r="A693" s="439"/>
      <c r="B693" s="439"/>
      <c r="C693" s="439"/>
      <c r="D693" s="465"/>
      <c r="E693" s="466"/>
      <c r="F693" s="467"/>
    </row>
    <row r="694" spans="1:6" ht="19.5" customHeight="1">
      <c r="A694" s="439"/>
      <c r="B694" s="439"/>
      <c r="C694" s="439"/>
      <c r="D694" s="465"/>
      <c r="E694" s="466"/>
      <c r="F694" s="467"/>
    </row>
    <row r="695" spans="1:6" ht="19.5" customHeight="1">
      <c r="A695" s="439"/>
      <c r="B695" s="439"/>
      <c r="C695" s="439"/>
      <c r="D695" s="465"/>
      <c r="E695" s="466"/>
      <c r="F695" s="467"/>
    </row>
    <row r="696" spans="1:6" ht="19.5" customHeight="1">
      <c r="A696" s="439"/>
      <c r="B696" s="439"/>
      <c r="C696" s="439"/>
      <c r="D696" s="465"/>
      <c r="E696" s="466"/>
      <c r="F696" s="467"/>
    </row>
    <row r="697" spans="1:6" ht="19.5" customHeight="1">
      <c r="A697" s="439"/>
      <c r="B697" s="439"/>
      <c r="C697" s="439"/>
      <c r="D697" s="465"/>
      <c r="E697" s="466"/>
      <c r="F697" s="467"/>
    </row>
    <row r="698" spans="1:6" ht="19.5" customHeight="1">
      <c r="A698" s="439"/>
      <c r="B698" s="439"/>
      <c r="C698" s="439"/>
      <c r="D698" s="465"/>
      <c r="E698" s="466"/>
      <c r="F698" s="467"/>
    </row>
    <row r="699" spans="1:6" ht="19.5" customHeight="1">
      <c r="A699" s="439"/>
      <c r="B699" s="439"/>
      <c r="C699" s="439"/>
      <c r="D699" s="465"/>
      <c r="E699" s="466"/>
      <c r="F699" s="467"/>
    </row>
    <row r="700" spans="1:6" ht="19.5" customHeight="1">
      <c r="A700" s="439"/>
      <c r="B700" s="439"/>
      <c r="C700" s="439"/>
      <c r="D700" s="465"/>
      <c r="E700" s="466"/>
      <c r="F700" s="467"/>
    </row>
    <row r="701" spans="1:6" ht="19.5" customHeight="1">
      <c r="A701" s="439"/>
      <c r="B701" s="439"/>
      <c r="C701" s="439"/>
      <c r="D701" s="465"/>
      <c r="E701" s="466"/>
      <c r="F701" s="467"/>
    </row>
    <row r="702" spans="1:6" ht="19.5" customHeight="1">
      <c r="A702" s="439"/>
      <c r="B702" s="439"/>
      <c r="C702" s="439"/>
      <c r="D702" s="465"/>
      <c r="E702" s="466"/>
      <c r="F702" s="467"/>
    </row>
    <row r="703" spans="1:6" ht="19.5" customHeight="1">
      <c r="A703" s="439"/>
      <c r="B703" s="439"/>
      <c r="C703" s="439"/>
      <c r="D703" s="465"/>
      <c r="E703" s="466"/>
      <c r="F703" s="467"/>
    </row>
    <row r="704" spans="1:6" ht="19.5" customHeight="1">
      <c r="A704" s="439"/>
      <c r="B704" s="439"/>
      <c r="C704" s="439"/>
      <c r="D704" s="465"/>
      <c r="E704" s="442"/>
      <c r="F704" s="467"/>
    </row>
    <row r="705" spans="1:6" ht="19.5" customHeight="1">
      <c r="A705" s="439"/>
      <c r="B705" s="439"/>
      <c r="C705" s="439"/>
      <c r="D705" s="465"/>
      <c r="E705" s="442"/>
      <c r="F705" s="467"/>
    </row>
    <row r="706" spans="1:6" ht="19.5" customHeight="1">
      <c r="A706" s="439"/>
      <c r="B706" s="439"/>
      <c r="C706" s="439"/>
      <c r="D706" s="465"/>
      <c r="E706" s="442"/>
      <c r="F706" s="467"/>
    </row>
    <row r="707" spans="1:6" ht="19.5" customHeight="1">
      <c r="A707" s="439"/>
      <c r="B707" s="439"/>
      <c r="C707" s="439"/>
      <c r="D707" s="465"/>
      <c r="E707" s="442"/>
      <c r="F707" s="467"/>
    </row>
    <row r="708" spans="1:6" ht="19.5" customHeight="1">
      <c r="A708" s="439"/>
      <c r="B708" s="439"/>
      <c r="C708" s="439"/>
      <c r="D708" s="465"/>
      <c r="E708" s="442"/>
      <c r="F708" s="467"/>
    </row>
    <row r="709" spans="1:6" ht="19.5" customHeight="1">
      <c r="A709" s="439"/>
      <c r="B709" s="439"/>
      <c r="C709" s="439"/>
      <c r="D709" s="465"/>
      <c r="E709" s="442"/>
      <c r="F709" s="467"/>
    </row>
    <row r="710" spans="1:6" ht="19.5" customHeight="1">
      <c r="A710" s="439"/>
      <c r="B710" s="439"/>
      <c r="C710" s="439"/>
      <c r="D710" s="465"/>
      <c r="E710" s="442"/>
      <c r="F710" s="467"/>
    </row>
    <row r="711" spans="1:6" ht="19.5" customHeight="1">
      <c r="A711" s="439"/>
      <c r="B711" s="439"/>
      <c r="C711" s="439"/>
      <c r="D711" s="465"/>
      <c r="E711" s="442"/>
      <c r="F711" s="467"/>
    </row>
    <row r="712" spans="1:6" ht="19.5" customHeight="1">
      <c r="A712" s="439"/>
      <c r="B712" s="439"/>
      <c r="C712" s="439"/>
      <c r="D712" s="465"/>
      <c r="E712" s="442"/>
      <c r="F712" s="467"/>
    </row>
    <row r="713" spans="1:6" ht="19.5" customHeight="1">
      <c r="A713" s="439"/>
      <c r="B713" s="439"/>
      <c r="C713" s="439"/>
      <c r="D713" s="465"/>
      <c r="E713" s="442"/>
      <c r="F713" s="467"/>
    </row>
    <row r="714" spans="1:6" ht="19.5" customHeight="1">
      <c r="A714" s="439"/>
      <c r="B714" s="439"/>
      <c r="C714" s="439"/>
      <c r="D714" s="465"/>
      <c r="E714" s="442"/>
      <c r="F714" s="467"/>
    </row>
    <row r="715" spans="1:6" ht="19.5" customHeight="1">
      <c r="A715" s="439"/>
      <c r="B715" s="439"/>
      <c r="C715" s="439"/>
      <c r="D715" s="465"/>
      <c r="E715" s="442"/>
      <c r="F715" s="467"/>
    </row>
    <row r="716" spans="1:6" ht="19.5" customHeight="1">
      <c r="A716" s="439"/>
      <c r="B716" s="439"/>
      <c r="C716" s="439"/>
      <c r="D716" s="465"/>
      <c r="E716" s="442"/>
      <c r="F716" s="467"/>
    </row>
    <row r="717" spans="1:6" ht="19.5" customHeight="1">
      <c r="A717" s="439"/>
      <c r="B717" s="439"/>
      <c r="C717" s="439"/>
      <c r="D717" s="465"/>
      <c r="E717" s="442"/>
      <c r="F717" s="467"/>
    </row>
    <row r="718" spans="1:6" ht="19.5" customHeight="1">
      <c r="A718" s="439"/>
      <c r="B718" s="439"/>
      <c r="C718" s="439"/>
      <c r="D718" s="465"/>
      <c r="E718" s="442"/>
      <c r="F718" s="467"/>
    </row>
    <row r="719" spans="1:6" ht="19.5" customHeight="1">
      <c r="A719" s="439"/>
      <c r="B719" s="439"/>
      <c r="C719" s="439"/>
      <c r="D719" s="465"/>
      <c r="E719" s="442"/>
      <c r="F719" s="467"/>
    </row>
    <row r="720" spans="1:6" ht="19.5" customHeight="1">
      <c r="A720" s="439"/>
      <c r="B720" s="439"/>
      <c r="C720" s="439"/>
      <c r="D720" s="465"/>
      <c r="E720" s="442"/>
      <c r="F720" s="467"/>
    </row>
    <row r="721" spans="1:6" ht="19.5" customHeight="1">
      <c r="A721" s="439"/>
      <c r="B721" s="439"/>
      <c r="C721" s="439"/>
      <c r="D721" s="465"/>
      <c r="E721" s="442"/>
      <c r="F721" s="467"/>
    </row>
    <row r="722" spans="1:6" ht="19.5" customHeight="1">
      <c r="A722" s="439"/>
      <c r="B722" s="439"/>
      <c r="C722" s="439"/>
      <c r="D722" s="465"/>
      <c r="E722" s="442"/>
      <c r="F722" s="467"/>
    </row>
    <row r="723" spans="1:6" ht="19.5" customHeight="1">
      <c r="A723" s="439"/>
      <c r="B723" s="439"/>
      <c r="C723" s="439"/>
      <c r="D723" s="465"/>
      <c r="E723" s="442"/>
      <c r="F723" s="467"/>
    </row>
    <row r="724" spans="1:6" ht="19.5" customHeight="1">
      <c r="A724" s="439"/>
      <c r="B724" s="439"/>
      <c r="C724" s="439"/>
      <c r="D724" s="465"/>
      <c r="E724" s="442"/>
      <c r="F724" s="467"/>
    </row>
    <row r="725" spans="1:6" ht="19.5" customHeight="1">
      <c r="A725" s="439"/>
      <c r="B725" s="439"/>
      <c r="C725" s="439"/>
      <c r="D725" s="465"/>
      <c r="E725" s="442"/>
      <c r="F725" s="467"/>
    </row>
    <row r="726" spans="1:6" ht="19.5" customHeight="1">
      <c r="A726" s="439"/>
      <c r="B726" s="439"/>
      <c r="C726" s="439"/>
      <c r="D726" s="465"/>
      <c r="E726" s="442"/>
      <c r="F726" s="467"/>
    </row>
    <row r="727" spans="1:6" ht="19.5" customHeight="1">
      <c r="A727" s="439"/>
      <c r="B727" s="439"/>
      <c r="C727" s="439"/>
      <c r="D727" s="465"/>
      <c r="E727" s="442"/>
      <c r="F727" s="467"/>
    </row>
    <row r="728" spans="1:6" ht="19.5" customHeight="1">
      <c r="A728" s="439"/>
      <c r="B728" s="439"/>
      <c r="C728" s="439"/>
      <c r="D728" s="465"/>
      <c r="E728" s="442"/>
      <c r="F728" s="467"/>
    </row>
    <row r="729" spans="1:6" ht="19.5" customHeight="1">
      <c r="A729" s="439"/>
      <c r="B729" s="439"/>
      <c r="C729" s="439"/>
      <c r="D729" s="465"/>
      <c r="E729" s="442"/>
      <c r="F729" s="467"/>
    </row>
    <row r="730" spans="1:6" ht="19.5" customHeight="1">
      <c r="A730" s="439"/>
      <c r="B730" s="439"/>
      <c r="C730" s="439"/>
      <c r="D730" s="465"/>
      <c r="E730" s="442"/>
      <c r="F730" s="467"/>
    </row>
    <row r="731" spans="1:6" ht="19.5" customHeight="1">
      <c r="A731" s="439"/>
      <c r="B731" s="439"/>
      <c r="C731" s="439"/>
      <c r="D731" s="465"/>
      <c r="E731" s="442"/>
      <c r="F731" s="467"/>
    </row>
    <row r="732" spans="1:6" ht="19.5" customHeight="1">
      <c r="A732" s="439"/>
      <c r="B732" s="439"/>
      <c r="C732" s="439"/>
      <c r="D732" s="465"/>
      <c r="E732" s="442"/>
      <c r="F732" s="467"/>
    </row>
    <row r="733" spans="1:5" ht="19.5" customHeight="1">
      <c r="A733" s="439"/>
      <c r="B733" s="439"/>
      <c r="C733" s="439"/>
      <c r="D733" s="465"/>
      <c r="E733" s="442"/>
    </row>
    <row r="734" spans="1:5" ht="19.5" customHeight="1">
      <c r="A734" s="439"/>
      <c r="B734" s="439"/>
      <c r="C734" s="439"/>
      <c r="D734" s="465"/>
      <c r="E734" s="442"/>
    </row>
    <row r="735" spans="1:5" ht="19.5" customHeight="1">
      <c r="A735" s="439"/>
      <c r="B735" s="439"/>
      <c r="C735" s="439"/>
      <c r="D735" s="465"/>
      <c r="E735" s="442"/>
    </row>
    <row r="736" spans="1:5" ht="19.5" customHeight="1">
      <c r="A736" s="439"/>
      <c r="B736" s="439"/>
      <c r="C736" s="439"/>
      <c r="D736" s="465"/>
      <c r="E736" s="442"/>
    </row>
    <row r="737" spans="1:5" ht="19.5" customHeight="1">
      <c r="A737" s="439"/>
      <c r="B737" s="439"/>
      <c r="C737" s="439"/>
      <c r="D737" s="465"/>
      <c r="E737" s="442"/>
    </row>
    <row r="738" spans="1:5" ht="19.5" customHeight="1">
      <c r="A738" s="439"/>
      <c r="B738" s="439"/>
      <c r="C738" s="439"/>
      <c r="D738" s="465"/>
      <c r="E738" s="442"/>
    </row>
    <row r="739" spans="1:5" ht="19.5" customHeight="1">
      <c r="A739" s="439"/>
      <c r="B739" s="439"/>
      <c r="C739" s="439"/>
      <c r="D739" s="465"/>
      <c r="E739" s="442"/>
    </row>
    <row r="740" spans="1:5" ht="19.5" customHeight="1">
      <c r="A740" s="439"/>
      <c r="B740" s="439"/>
      <c r="C740" s="439"/>
      <c r="D740" s="465"/>
      <c r="E740" s="442"/>
    </row>
    <row r="741" spans="1:5" ht="19.5" customHeight="1">
      <c r="A741" s="439"/>
      <c r="B741" s="439"/>
      <c r="C741" s="439"/>
      <c r="D741" s="465"/>
      <c r="E741" s="442"/>
    </row>
    <row r="742" spans="1:5" ht="19.5" customHeight="1">
      <c r="A742" s="439"/>
      <c r="B742" s="439"/>
      <c r="C742" s="439"/>
      <c r="D742" s="465"/>
      <c r="E742" s="442"/>
    </row>
    <row r="743" spans="1:5" ht="19.5" customHeight="1">
      <c r="A743" s="439"/>
      <c r="B743" s="439"/>
      <c r="C743" s="439"/>
      <c r="D743" s="465"/>
      <c r="E743" s="442"/>
    </row>
    <row r="744" spans="1:5" ht="19.5" customHeight="1">
      <c r="A744" s="439"/>
      <c r="B744" s="439"/>
      <c r="C744" s="439"/>
      <c r="D744" s="465"/>
      <c r="E744" s="442"/>
    </row>
    <row r="745" spans="1:5" ht="19.5" customHeight="1">
      <c r="A745" s="439"/>
      <c r="B745" s="439"/>
      <c r="C745" s="439"/>
      <c r="D745" s="465"/>
      <c r="E745" s="442"/>
    </row>
    <row r="746" spans="1:5" ht="19.5" customHeight="1">
      <c r="A746" s="439"/>
      <c r="B746" s="439"/>
      <c r="C746" s="439"/>
      <c r="D746" s="465"/>
      <c r="E746" s="442"/>
    </row>
    <row r="747" spans="1:5" ht="19.5" customHeight="1">
      <c r="A747" s="439"/>
      <c r="B747" s="439"/>
      <c r="C747" s="439"/>
      <c r="D747" s="465"/>
      <c r="E747" s="442"/>
    </row>
    <row r="748" spans="1:5" ht="19.5" customHeight="1">
      <c r="A748" s="439"/>
      <c r="B748" s="439"/>
      <c r="C748" s="439"/>
      <c r="D748" s="465"/>
      <c r="E748" s="442"/>
    </row>
    <row r="749" spans="1:5" ht="19.5" customHeight="1">
      <c r="A749" s="439"/>
      <c r="B749" s="439"/>
      <c r="C749" s="439"/>
      <c r="D749" s="465"/>
      <c r="E749" s="442"/>
    </row>
    <row r="750" spans="1:5" ht="19.5" customHeight="1">
      <c r="A750" s="439"/>
      <c r="B750" s="439"/>
      <c r="C750" s="439"/>
      <c r="D750" s="465"/>
      <c r="E750" s="442"/>
    </row>
    <row r="751" spans="1:5" ht="19.5" customHeight="1">
      <c r="A751" s="439"/>
      <c r="B751" s="439"/>
      <c r="C751" s="439"/>
      <c r="D751" s="465"/>
      <c r="E751" s="442"/>
    </row>
    <row r="752" spans="1:5" ht="19.5" customHeight="1">
      <c r="A752" s="439"/>
      <c r="B752" s="439"/>
      <c r="C752" s="439"/>
      <c r="D752" s="465"/>
      <c r="E752" s="442"/>
    </row>
    <row r="753" spans="1:5" ht="19.5" customHeight="1">
      <c r="A753" s="439"/>
      <c r="B753" s="439"/>
      <c r="C753" s="439"/>
      <c r="D753" s="465"/>
      <c r="E753" s="442"/>
    </row>
    <row r="754" spans="1:5" ht="19.5" customHeight="1">
      <c r="A754" s="439"/>
      <c r="B754" s="439"/>
      <c r="C754" s="439"/>
      <c r="D754" s="465"/>
      <c r="E754" s="442"/>
    </row>
    <row r="755" spans="1:5" ht="19.5" customHeight="1">
      <c r="A755" s="439"/>
      <c r="B755" s="439"/>
      <c r="C755" s="439"/>
      <c r="D755" s="465"/>
      <c r="E755" s="442"/>
    </row>
    <row r="756" spans="1:5" ht="19.5" customHeight="1">
      <c r="A756" s="439"/>
      <c r="B756" s="439"/>
      <c r="C756" s="439"/>
      <c r="D756" s="465"/>
      <c r="E756" s="442"/>
    </row>
    <row r="757" spans="1:5" ht="19.5" customHeight="1">
      <c r="A757" s="439"/>
      <c r="B757" s="439"/>
      <c r="C757" s="439"/>
      <c r="D757" s="465"/>
      <c r="E757" s="442"/>
    </row>
    <row r="758" spans="1:5" ht="19.5" customHeight="1">
      <c r="A758" s="439"/>
      <c r="B758" s="439"/>
      <c r="C758" s="439"/>
      <c r="D758" s="465"/>
      <c r="E758" s="442"/>
    </row>
    <row r="759" spans="1:5" ht="19.5" customHeight="1">
      <c r="A759" s="439"/>
      <c r="B759" s="439"/>
      <c r="C759" s="439"/>
      <c r="D759" s="465"/>
      <c r="E759" s="442"/>
    </row>
    <row r="760" spans="1:5" ht="19.5" customHeight="1">
      <c r="A760" s="439"/>
      <c r="B760" s="439"/>
      <c r="C760" s="439"/>
      <c r="D760" s="465"/>
      <c r="E760" s="442"/>
    </row>
    <row r="761" spans="1:5" ht="19.5" customHeight="1">
      <c r="A761" s="439"/>
      <c r="B761" s="439"/>
      <c r="C761" s="439"/>
      <c r="D761" s="465"/>
      <c r="E761" s="442"/>
    </row>
    <row r="762" spans="1:5" ht="19.5" customHeight="1">
      <c r="A762" s="439"/>
      <c r="B762" s="439"/>
      <c r="C762" s="439"/>
      <c r="D762" s="465"/>
      <c r="E762" s="442"/>
    </row>
    <row r="763" spans="1:5" ht="19.5" customHeight="1">
      <c r="A763" s="439"/>
      <c r="B763" s="439"/>
      <c r="C763" s="439"/>
      <c r="D763" s="465"/>
      <c r="E763" s="442"/>
    </row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  <row r="1001" ht="19.5" customHeight="1"/>
    <row r="1002" ht="19.5" customHeight="1"/>
    <row r="1003" ht="19.5" customHeight="1"/>
    <row r="1004" ht="19.5" customHeight="1"/>
    <row r="1005" ht="19.5" customHeight="1"/>
    <row r="1006" ht="19.5" customHeight="1"/>
    <row r="1007" ht="19.5" customHeight="1"/>
    <row r="1008" ht="19.5" customHeight="1"/>
    <row r="1009" ht="19.5" customHeight="1"/>
    <row r="1010" ht="19.5" customHeight="1"/>
    <row r="1011" ht="19.5" customHeight="1"/>
    <row r="1012" ht="19.5" customHeight="1"/>
    <row r="1013" ht="19.5" customHeight="1"/>
    <row r="1014" ht="19.5" customHeight="1"/>
    <row r="1015" ht="19.5" customHeight="1"/>
    <row r="1016" ht="19.5" customHeight="1"/>
    <row r="1017" ht="19.5" customHeight="1"/>
    <row r="1018" ht="19.5" customHeight="1"/>
    <row r="1019" ht="19.5" customHeight="1"/>
    <row r="1020" ht="19.5" customHeight="1"/>
    <row r="1021" ht="19.5" customHeight="1"/>
    <row r="1022" ht="19.5" customHeight="1"/>
    <row r="1023" ht="19.5" customHeight="1"/>
    <row r="1024" ht="19.5" customHeight="1"/>
    <row r="1025" ht="19.5" customHeight="1"/>
    <row r="1026" ht="19.5" customHeight="1"/>
    <row r="1027" ht="19.5" customHeight="1"/>
    <row r="1028" ht="19.5" customHeight="1"/>
    <row r="1029" ht="19.5" customHeight="1"/>
    <row r="1030" ht="19.5" customHeight="1"/>
    <row r="1031" ht="19.5" customHeight="1"/>
    <row r="1032" ht="19.5" customHeight="1"/>
    <row r="1033" ht="19.5" customHeight="1"/>
    <row r="1034" ht="19.5" customHeight="1"/>
    <row r="1035" ht="19.5" customHeight="1"/>
    <row r="1036" ht="19.5" customHeight="1"/>
    <row r="1037" ht="19.5" customHeight="1"/>
    <row r="1038" ht="19.5" customHeight="1"/>
    <row r="1039" ht="19.5" customHeight="1"/>
    <row r="1040" ht="19.5" customHeight="1"/>
    <row r="1041" ht="19.5" customHeight="1"/>
    <row r="1042" ht="19.5" customHeight="1"/>
    <row r="1043" ht="19.5" customHeight="1"/>
    <row r="1044" ht="19.5" customHeight="1"/>
    <row r="1045" ht="19.5" customHeight="1"/>
    <row r="1046" ht="19.5" customHeight="1"/>
    <row r="1047" ht="19.5" customHeight="1"/>
    <row r="1048" ht="19.5" customHeight="1"/>
    <row r="1049" ht="19.5" customHeight="1"/>
    <row r="1050" ht="19.5" customHeight="1"/>
    <row r="1051" ht="19.5" customHeight="1"/>
    <row r="1052" ht="19.5" customHeight="1"/>
    <row r="1053" ht="19.5" customHeight="1"/>
    <row r="1054" ht="19.5" customHeight="1"/>
    <row r="1055" ht="19.5" customHeight="1"/>
    <row r="1056" ht="19.5" customHeight="1"/>
    <row r="1057" ht="19.5" customHeight="1"/>
    <row r="1058" ht="19.5" customHeight="1"/>
    <row r="1059" ht="19.5" customHeight="1"/>
    <row r="1060" ht="19.5" customHeight="1"/>
    <row r="1061" ht="19.5" customHeight="1"/>
    <row r="1062" ht="19.5" customHeight="1"/>
    <row r="1063" ht="19.5" customHeight="1"/>
    <row r="1064" ht="19.5" customHeight="1"/>
    <row r="1065" ht="19.5" customHeight="1"/>
    <row r="1066" ht="19.5" customHeight="1"/>
    <row r="1067" ht="19.5" customHeight="1"/>
    <row r="1068" ht="19.5" customHeight="1"/>
    <row r="1069" ht="19.5" customHeight="1"/>
    <row r="1070" ht="19.5" customHeight="1"/>
    <row r="1071" ht="19.5" customHeight="1"/>
    <row r="1072" ht="19.5" customHeight="1"/>
    <row r="1073" ht="19.5" customHeight="1"/>
    <row r="1074" ht="19.5" customHeight="1"/>
    <row r="1075" ht="19.5" customHeight="1"/>
    <row r="1076" ht="19.5" customHeight="1"/>
    <row r="1077" ht="19.5" customHeight="1"/>
    <row r="1078" ht="19.5" customHeight="1"/>
    <row r="1079" ht="19.5" customHeight="1"/>
    <row r="1080" ht="19.5" customHeight="1"/>
    <row r="1081" ht="19.5" customHeight="1"/>
    <row r="1082" ht="19.5" customHeight="1"/>
    <row r="1083" ht="19.5" customHeight="1"/>
    <row r="1084" ht="19.5" customHeight="1"/>
    <row r="1085" ht="19.5" customHeight="1"/>
    <row r="1086" ht="19.5" customHeight="1"/>
    <row r="1087" ht="19.5" customHeight="1"/>
    <row r="1088" ht="19.5" customHeight="1"/>
    <row r="1089" ht="19.5" customHeight="1"/>
    <row r="1090" ht="19.5" customHeight="1"/>
    <row r="1091" ht="19.5" customHeight="1"/>
    <row r="1092" ht="19.5" customHeight="1"/>
    <row r="1093" ht="19.5" customHeight="1"/>
    <row r="1094" ht="19.5" customHeight="1"/>
    <row r="1095" ht="19.5" customHeight="1"/>
    <row r="1096" ht="19.5" customHeight="1"/>
    <row r="1097" ht="19.5" customHeight="1"/>
    <row r="1098" ht="19.5" customHeight="1"/>
    <row r="1099" ht="19.5" customHeight="1"/>
    <row r="1100" ht="19.5" customHeight="1"/>
    <row r="1101" ht="19.5" customHeight="1"/>
    <row r="1102" ht="19.5" customHeight="1"/>
    <row r="1103" ht="19.5" customHeight="1"/>
    <row r="1104" ht="19.5" customHeight="1"/>
    <row r="1105" ht="19.5" customHeight="1"/>
    <row r="1106" ht="19.5" customHeight="1"/>
    <row r="1107" ht="19.5" customHeight="1"/>
    <row r="1108" ht="19.5" customHeight="1"/>
    <row r="1109" ht="19.5" customHeight="1"/>
    <row r="1110" ht="19.5" customHeight="1"/>
    <row r="1111" ht="19.5" customHeight="1"/>
    <row r="1112" ht="19.5" customHeight="1"/>
    <row r="1113" ht="19.5" customHeight="1"/>
    <row r="1114" ht="19.5" customHeight="1"/>
    <row r="1115" ht="19.5" customHeight="1"/>
    <row r="1116" ht="19.5" customHeight="1"/>
    <row r="1117" ht="19.5" customHeight="1"/>
    <row r="1118" ht="19.5" customHeight="1"/>
    <row r="1119" ht="19.5" customHeight="1"/>
    <row r="1120" ht="19.5" customHeight="1"/>
    <row r="1121" ht="19.5" customHeight="1"/>
    <row r="1122" ht="19.5" customHeight="1"/>
    <row r="1123" ht="19.5" customHeight="1"/>
    <row r="1124" ht="19.5" customHeight="1"/>
    <row r="1125" ht="19.5" customHeight="1"/>
    <row r="1126" ht="19.5" customHeight="1"/>
    <row r="1127" ht="19.5" customHeight="1"/>
    <row r="1128" ht="19.5" customHeight="1"/>
    <row r="1129" ht="19.5" customHeight="1"/>
    <row r="1130" ht="19.5" customHeight="1"/>
    <row r="1131" ht="19.5" customHeight="1"/>
    <row r="1132" ht="19.5" customHeight="1"/>
    <row r="1133" ht="19.5" customHeight="1"/>
    <row r="1134" ht="19.5" customHeight="1"/>
    <row r="1135" ht="19.5" customHeight="1"/>
    <row r="1136" ht="19.5" customHeight="1"/>
    <row r="1137" ht="19.5" customHeight="1"/>
    <row r="1138" ht="19.5" customHeight="1"/>
    <row r="1139" ht="19.5" customHeight="1"/>
    <row r="1140" ht="19.5" customHeight="1"/>
    <row r="1141" ht="19.5" customHeight="1"/>
    <row r="1142" ht="19.5" customHeight="1"/>
    <row r="1143" ht="19.5" customHeight="1"/>
    <row r="1144" ht="19.5" customHeight="1"/>
    <row r="1145" ht="19.5" customHeight="1"/>
    <row r="1146" ht="19.5" customHeight="1"/>
    <row r="1147" ht="19.5" customHeight="1"/>
    <row r="1148" ht="19.5" customHeight="1"/>
    <row r="1149" ht="19.5" customHeight="1"/>
    <row r="1150" ht="19.5" customHeight="1"/>
    <row r="1151" ht="19.5" customHeight="1"/>
    <row r="1152" ht="19.5" customHeight="1"/>
    <row r="1153" ht="19.5" customHeight="1"/>
    <row r="1154" ht="19.5" customHeight="1"/>
    <row r="1155" ht="19.5" customHeight="1"/>
    <row r="1156" ht="19.5" customHeight="1"/>
    <row r="1157" ht="19.5" customHeight="1"/>
    <row r="1158" ht="19.5" customHeight="1"/>
    <row r="1159" ht="19.5" customHeight="1"/>
    <row r="1160" ht="19.5" customHeight="1"/>
    <row r="1161" ht="19.5" customHeight="1"/>
    <row r="1162" ht="19.5" customHeight="1"/>
    <row r="1163" ht="19.5" customHeight="1"/>
    <row r="1164" ht="19.5" customHeight="1"/>
    <row r="1165" ht="19.5" customHeight="1"/>
    <row r="1166" ht="19.5" customHeight="1"/>
    <row r="1167" ht="19.5" customHeight="1"/>
    <row r="1168" ht="19.5" customHeight="1"/>
    <row r="1169" ht="19.5" customHeight="1"/>
    <row r="1170" ht="19.5" customHeight="1"/>
    <row r="1171" ht="19.5" customHeight="1"/>
    <row r="1172" ht="19.5" customHeight="1"/>
    <row r="1173" ht="19.5" customHeight="1"/>
    <row r="1174" ht="19.5" customHeight="1"/>
    <row r="1175" ht="19.5" customHeight="1"/>
    <row r="1176" ht="19.5" customHeight="1"/>
    <row r="1177" ht="19.5" customHeight="1"/>
    <row r="1178" ht="19.5" customHeight="1"/>
    <row r="1179" ht="19.5" customHeight="1"/>
    <row r="1180" ht="19.5" customHeight="1"/>
    <row r="1181" ht="19.5" customHeight="1"/>
    <row r="1182" ht="19.5" customHeight="1"/>
    <row r="1183" ht="19.5" customHeight="1"/>
    <row r="1184" ht="19.5" customHeight="1"/>
    <row r="1185" ht="19.5" customHeight="1"/>
    <row r="1186" ht="19.5" customHeight="1"/>
    <row r="1187" ht="19.5" customHeight="1"/>
    <row r="1188" ht="19.5" customHeight="1"/>
    <row r="1189" ht="19.5" customHeight="1"/>
    <row r="1190" ht="19.5" customHeight="1"/>
    <row r="1191" ht="19.5" customHeight="1"/>
    <row r="1192" ht="19.5" customHeight="1"/>
    <row r="1193" ht="19.5" customHeight="1"/>
    <row r="1194" ht="19.5" customHeight="1"/>
    <row r="1195" ht="19.5" customHeight="1"/>
    <row r="1196" ht="19.5" customHeight="1"/>
    <row r="1197" ht="19.5" customHeight="1"/>
    <row r="1198" ht="19.5" customHeight="1"/>
    <row r="1199" ht="19.5" customHeight="1"/>
    <row r="1200" ht="19.5" customHeight="1"/>
    <row r="1201" ht="19.5" customHeight="1"/>
    <row r="1202" ht="19.5" customHeight="1"/>
    <row r="1203" ht="19.5" customHeight="1"/>
    <row r="1204" ht="19.5" customHeight="1"/>
    <row r="1205" ht="19.5" customHeight="1"/>
    <row r="1206" ht="19.5" customHeight="1"/>
    <row r="1207" ht="19.5" customHeight="1"/>
    <row r="1208" ht="19.5" customHeight="1"/>
    <row r="1209" ht="19.5" customHeight="1"/>
    <row r="1210" ht="19.5" customHeight="1"/>
    <row r="1211" ht="19.5" customHeight="1"/>
    <row r="1212" ht="19.5" customHeight="1"/>
    <row r="1213" ht="19.5" customHeight="1"/>
    <row r="1214" ht="19.5" customHeight="1"/>
    <row r="1215" ht="19.5" customHeight="1"/>
    <row r="1216" ht="19.5" customHeight="1"/>
    <row r="1217" ht="19.5" customHeight="1"/>
    <row r="1218" ht="19.5" customHeight="1"/>
    <row r="1219" ht="19.5" customHeight="1"/>
    <row r="1220" ht="19.5" customHeight="1"/>
    <row r="1221" ht="19.5" customHeight="1"/>
    <row r="1222" ht="19.5" customHeight="1"/>
    <row r="1223" ht="19.5" customHeight="1"/>
    <row r="1224" ht="19.5" customHeight="1"/>
    <row r="1225" ht="19.5" customHeight="1"/>
    <row r="1226" ht="19.5" customHeight="1"/>
    <row r="1227" ht="19.5" customHeight="1"/>
    <row r="1228" ht="19.5" customHeight="1"/>
    <row r="1229" ht="19.5" customHeight="1"/>
    <row r="1230" ht="19.5" customHeight="1"/>
    <row r="1231" ht="19.5" customHeight="1"/>
    <row r="1232" ht="19.5" customHeight="1"/>
    <row r="1233" ht="19.5" customHeight="1"/>
    <row r="1234" ht="19.5" customHeight="1"/>
    <row r="1235" ht="19.5" customHeight="1"/>
    <row r="1236" ht="19.5" customHeight="1"/>
    <row r="1237" ht="19.5" customHeight="1"/>
    <row r="1238" ht="19.5" customHeight="1"/>
    <row r="1239" ht="19.5" customHeight="1"/>
    <row r="1240" ht="19.5" customHeight="1"/>
    <row r="1241" ht="19.5" customHeight="1"/>
    <row r="1242" ht="19.5" customHeight="1"/>
    <row r="1243" ht="19.5" customHeight="1"/>
    <row r="1244" ht="19.5" customHeight="1"/>
    <row r="1245" ht="19.5" customHeight="1"/>
    <row r="1246" ht="19.5" customHeight="1"/>
    <row r="1247" ht="19.5" customHeight="1"/>
    <row r="1248" ht="19.5" customHeight="1"/>
    <row r="1249" ht="19.5" customHeight="1"/>
    <row r="1250" ht="19.5" customHeight="1"/>
    <row r="1251" ht="19.5" customHeight="1"/>
    <row r="1252" ht="19.5" customHeight="1"/>
    <row r="1253" ht="19.5" customHeight="1"/>
    <row r="1254" ht="19.5" customHeight="1"/>
    <row r="1255" ht="19.5" customHeight="1"/>
    <row r="1256" ht="19.5" customHeight="1"/>
    <row r="1257" ht="19.5" customHeight="1"/>
    <row r="1258" ht="19.5" customHeight="1"/>
    <row r="1259" ht="19.5" customHeight="1"/>
    <row r="1260" ht="19.5" customHeight="1"/>
    <row r="1261" ht="19.5" customHeight="1"/>
    <row r="1262" ht="19.5" customHeight="1"/>
    <row r="1263" ht="19.5" customHeight="1"/>
    <row r="1264" ht="19.5" customHeight="1"/>
    <row r="1265" ht="19.5" customHeight="1"/>
    <row r="1266" ht="19.5" customHeight="1"/>
    <row r="1267" ht="19.5" customHeight="1"/>
    <row r="1268" ht="19.5" customHeight="1"/>
    <row r="1269" ht="19.5" customHeight="1"/>
    <row r="1270" ht="19.5" customHeight="1"/>
    <row r="1271" ht="19.5" customHeight="1"/>
    <row r="1272" ht="19.5" customHeight="1"/>
    <row r="1273" ht="19.5" customHeight="1"/>
    <row r="1274" ht="19.5" customHeight="1"/>
    <row r="1275" ht="19.5" customHeight="1"/>
    <row r="1276" ht="19.5" customHeight="1"/>
    <row r="1277" ht="19.5" customHeight="1"/>
    <row r="1278" ht="19.5" customHeight="1"/>
    <row r="1279" ht="19.5" customHeight="1"/>
    <row r="1280" ht="19.5" customHeight="1"/>
    <row r="1281" ht="19.5" customHeight="1"/>
    <row r="1282" ht="19.5" customHeight="1"/>
    <row r="1283" ht="19.5" customHeight="1"/>
    <row r="1284" ht="19.5" customHeight="1"/>
    <row r="1285" ht="19.5" customHeight="1"/>
    <row r="1286" ht="19.5" customHeight="1"/>
    <row r="1287" ht="19.5" customHeight="1"/>
    <row r="1288" ht="19.5" customHeight="1"/>
    <row r="1289" ht="19.5" customHeight="1"/>
    <row r="1290" ht="19.5" customHeight="1"/>
    <row r="1291" ht="19.5" customHeight="1"/>
    <row r="1292" ht="19.5" customHeight="1"/>
    <row r="1293" ht="19.5" customHeight="1"/>
    <row r="1294" ht="19.5" customHeight="1"/>
    <row r="1295" ht="19.5" customHeight="1"/>
    <row r="1296" ht="19.5" customHeight="1"/>
    <row r="1297" ht="19.5" customHeight="1"/>
    <row r="1298" ht="19.5" customHeight="1"/>
    <row r="1299" ht="19.5" customHeight="1"/>
    <row r="1300" ht="19.5" customHeight="1"/>
    <row r="1301" ht="19.5" customHeight="1"/>
    <row r="1302" ht="19.5" customHeight="1"/>
    <row r="1303" ht="19.5" customHeight="1"/>
    <row r="1304" ht="19.5" customHeight="1"/>
    <row r="1305" ht="19.5" customHeight="1"/>
    <row r="1306" ht="19.5" customHeight="1"/>
    <row r="1307" ht="19.5" customHeight="1"/>
    <row r="1308" ht="19.5" customHeight="1"/>
    <row r="1309" ht="19.5" customHeight="1"/>
    <row r="1310" ht="19.5" customHeight="1"/>
    <row r="1311" ht="19.5" customHeight="1"/>
    <row r="1312" ht="19.5" customHeight="1"/>
    <row r="1313" ht="19.5" customHeight="1"/>
    <row r="1314" ht="19.5" customHeight="1"/>
    <row r="1315" ht="19.5" customHeight="1"/>
    <row r="1316" ht="19.5" customHeight="1"/>
    <row r="1317" ht="19.5" customHeight="1"/>
    <row r="1318" ht="19.5" customHeight="1"/>
    <row r="1319" ht="19.5" customHeight="1"/>
    <row r="1320" ht="19.5" customHeight="1"/>
    <row r="1321" ht="19.5" customHeight="1"/>
    <row r="1322" ht="19.5" customHeight="1"/>
    <row r="1323" ht="19.5" customHeight="1"/>
    <row r="1324" ht="19.5" customHeight="1"/>
    <row r="1325" ht="19.5" customHeight="1"/>
    <row r="1326" ht="19.5" customHeight="1"/>
    <row r="1327" ht="19.5" customHeight="1"/>
    <row r="1328" ht="19.5" customHeight="1"/>
    <row r="1329" ht="19.5" customHeight="1"/>
    <row r="1330" ht="19.5" customHeight="1"/>
    <row r="1331" ht="19.5" customHeight="1"/>
    <row r="1332" ht="19.5" customHeight="1"/>
    <row r="1333" ht="19.5" customHeight="1"/>
    <row r="1334" ht="19.5" customHeight="1"/>
    <row r="1335" ht="19.5" customHeight="1"/>
    <row r="1336" ht="19.5" customHeight="1"/>
    <row r="1337" ht="19.5" customHeight="1"/>
    <row r="1338" ht="19.5" customHeight="1"/>
    <row r="1339" ht="19.5" customHeight="1"/>
    <row r="1340" ht="19.5" customHeight="1"/>
    <row r="1341" ht="19.5" customHeight="1"/>
    <row r="1342" ht="19.5" customHeight="1"/>
    <row r="1343" ht="19.5" customHeight="1"/>
    <row r="1344" ht="19.5" customHeight="1"/>
    <row r="1345" ht="19.5" customHeight="1"/>
    <row r="1346" ht="19.5" customHeight="1"/>
    <row r="1347" ht="19.5" customHeight="1"/>
    <row r="1348" ht="19.5" customHeight="1"/>
    <row r="1349" ht="19.5" customHeight="1"/>
    <row r="1350" ht="19.5" customHeight="1"/>
    <row r="1351" ht="19.5" customHeight="1"/>
    <row r="1352" ht="19.5" customHeight="1"/>
    <row r="1353" ht="19.5" customHeight="1"/>
    <row r="1354" ht="19.5" customHeight="1"/>
    <row r="1355" ht="19.5" customHeight="1"/>
    <row r="1356" ht="19.5" customHeight="1"/>
    <row r="1357" ht="19.5" customHeight="1"/>
    <row r="1358" ht="19.5" customHeight="1"/>
    <row r="1359" ht="19.5" customHeight="1"/>
    <row r="1360" ht="19.5" customHeight="1"/>
    <row r="1361" ht="19.5" customHeight="1"/>
    <row r="1362" ht="19.5" customHeight="1"/>
    <row r="1363" ht="19.5" customHeight="1"/>
    <row r="1364" ht="19.5" customHeight="1"/>
    <row r="1365" ht="19.5" customHeight="1"/>
    <row r="1366" ht="19.5" customHeight="1"/>
    <row r="1367" ht="19.5" customHeight="1"/>
    <row r="1368" ht="19.5" customHeight="1"/>
    <row r="1369" ht="19.5" customHeight="1"/>
    <row r="1370" ht="19.5" customHeight="1"/>
    <row r="1371" ht="19.5" customHeight="1"/>
    <row r="1372" ht="19.5" customHeight="1"/>
    <row r="1373" ht="19.5" customHeight="1"/>
    <row r="1374" ht="19.5" customHeight="1"/>
    <row r="1375" ht="19.5" customHeight="1"/>
    <row r="1376" ht="19.5" customHeight="1"/>
    <row r="1377" ht="19.5" customHeight="1"/>
    <row r="1378" ht="19.5" customHeight="1"/>
    <row r="1379" ht="19.5" customHeight="1"/>
    <row r="1380" ht="19.5" customHeight="1"/>
    <row r="1381" ht="19.5" customHeight="1"/>
    <row r="1382" ht="19.5" customHeight="1"/>
    <row r="1383" ht="19.5" customHeight="1"/>
    <row r="1384" ht="19.5" customHeight="1"/>
    <row r="1385" ht="19.5" customHeight="1"/>
    <row r="1386" ht="19.5" customHeight="1"/>
    <row r="1387" ht="19.5" customHeight="1"/>
    <row r="1388" ht="19.5" customHeight="1"/>
    <row r="1389" ht="19.5" customHeight="1"/>
    <row r="1390" ht="19.5" customHeight="1"/>
    <row r="1391" ht="19.5" customHeight="1"/>
    <row r="1392" ht="19.5" customHeight="1"/>
    <row r="1393" ht="19.5" customHeight="1"/>
    <row r="1394" ht="19.5" customHeight="1"/>
  </sheetData>
  <sheetProtection password="CF53" sheet="1" formatRows="0" insertColumns="0" insertRows="0" insertHyperlinks="0" deleteColumns="0" deleteRows="0" sort="0" autoFilter="0" pivotTables="0"/>
  <mergeCells count="7">
    <mergeCell ref="F1:G1"/>
    <mergeCell ref="A3:G3"/>
    <mergeCell ref="A7:D7"/>
    <mergeCell ref="A614:D614"/>
    <mergeCell ref="A438:D438"/>
    <mergeCell ref="E132:E133"/>
    <mergeCell ref="F132:F133"/>
  </mergeCells>
  <printOptions horizontalCentered="1"/>
  <pageMargins left="0.7874015748031497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H288"/>
  <sheetViews>
    <sheetView view="pageBreakPreview" zoomScaleSheetLayoutView="100" zoomScalePageLayoutView="0" workbookViewId="0" topLeftCell="A1">
      <pane ySplit="6" topLeftCell="A7" activePane="bottomLeft" state="frozen"/>
      <selection pane="topLeft" activeCell="I244" sqref="I244"/>
      <selection pane="bottomLeft" activeCell="I110" sqref="I110"/>
    </sheetView>
  </sheetViews>
  <sheetFormatPr defaultColWidth="9.00390625" defaultRowHeight="12.75"/>
  <cols>
    <col min="1" max="1" width="5.625" style="470" customWidth="1"/>
    <col min="2" max="2" width="6.375" style="470" customWidth="1"/>
    <col min="3" max="3" width="5.125" style="470" customWidth="1"/>
    <col min="4" max="4" width="40.25390625" style="471" customWidth="1"/>
    <col min="5" max="5" width="12.75390625" style="393" customWidth="1"/>
    <col min="6" max="6" width="13.00390625" style="393" customWidth="1"/>
    <col min="7" max="7" width="9.00390625" style="468" customWidth="1"/>
    <col min="8" max="8" width="9.125" style="393" customWidth="1"/>
    <col min="9" max="9" width="29.875" style="393" customWidth="1"/>
    <col min="10" max="16384" width="9.125" style="393" customWidth="1"/>
  </cols>
  <sheetData>
    <row r="1" spans="1:7" s="97" customFormat="1" ht="12.75">
      <c r="A1" s="611"/>
      <c r="B1" s="611"/>
      <c r="C1" s="611"/>
      <c r="D1" s="612"/>
      <c r="E1" s="612"/>
      <c r="F1" s="1963" t="s">
        <v>252</v>
      </c>
      <c r="G1" s="1963"/>
    </row>
    <row r="2" spans="1:7" s="97" customFormat="1" ht="25.5" customHeight="1">
      <c r="A2" s="611"/>
      <c r="B2" s="611"/>
      <c r="C2" s="611"/>
      <c r="E2" s="612"/>
      <c r="G2" s="613"/>
    </row>
    <row r="3" spans="1:7" s="98" customFormat="1" ht="30.75" customHeight="1">
      <c r="A3" s="1999" t="s">
        <v>1653</v>
      </c>
      <c r="B3" s="1999"/>
      <c r="C3" s="1999"/>
      <c r="D3" s="1999"/>
      <c r="E3" s="1999"/>
      <c r="F3" s="1999"/>
      <c r="G3" s="1999"/>
    </row>
    <row r="4" spans="1:7" s="97" customFormat="1" ht="13.5" thickBot="1">
      <c r="A4" s="611"/>
      <c r="B4" s="611"/>
      <c r="C4" s="611"/>
      <c r="D4" s="612"/>
      <c r="G4" s="613"/>
    </row>
    <row r="5" spans="1:7" s="96" customFormat="1" ht="15" customHeight="1">
      <c r="A5" s="615" t="s">
        <v>125</v>
      </c>
      <c r="B5" s="616" t="s">
        <v>209</v>
      </c>
      <c r="C5" s="616" t="s">
        <v>130</v>
      </c>
      <c r="D5" s="616" t="s">
        <v>210</v>
      </c>
      <c r="E5" s="617" t="s">
        <v>211</v>
      </c>
      <c r="F5" s="568" t="s">
        <v>212</v>
      </c>
      <c r="G5" s="618" t="s">
        <v>213</v>
      </c>
    </row>
    <row r="6" spans="1:7" s="623" customFormat="1" ht="13.5" customHeight="1" thickBot="1">
      <c r="A6" s="619">
        <v>1</v>
      </c>
      <c r="B6" s="620">
        <v>2</v>
      </c>
      <c r="C6" s="620">
        <v>3</v>
      </c>
      <c r="D6" s="620">
        <v>4</v>
      </c>
      <c r="E6" s="621">
        <v>5</v>
      </c>
      <c r="F6" s="572">
        <v>6</v>
      </c>
      <c r="G6" s="622">
        <v>7</v>
      </c>
    </row>
    <row r="7" spans="1:7" s="763" customFormat="1" ht="22.5" customHeight="1">
      <c r="A7" s="1989" t="s">
        <v>1654</v>
      </c>
      <c r="B7" s="1990"/>
      <c r="C7" s="1990"/>
      <c r="D7" s="1991"/>
      <c r="E7" s="576">
        <f>SUM(E8,E14,E26,E37,E49,E56,E62,E65,E72,E76,E80,E90,E100)</f>
        <v>33114041</v>
      </c>
      <c r="F7" s="576">
        <f>SUM(F8,F14,F26,F37,F49,F56,F62,F65,F72,F76,F80,F90,F100)</f>
        <v>30783680.26</v>
      </c>
      <c r="G7" s="762">
        <f>F7/E7*100</f>
        <v>92.96262047872685</v>
      </c>
    </row>
    <row r="8" spans="1:7" s="646" customFormat="1" ht="18" customHeight="1">
      <c r="A8" s="624" t="s">
        <v>216</v>
      </c>
      <c r="B8" s="643"/>
      <c r="C8" s="643"/>
      <c r="D8" s="644" t="s">
        <v>131</v>
      </c>
      <c r="E8" s="645">
        <f>SUM(E9)</f>
        <v>15000</v>
      </c>
      <c r="F8" s="645">
        <f>SUM(F9)</f>
        <v>11847.27</v>
      </c>
      <c r="G8" s="628">
        <f>F8/E8*100</f>
        <v>78.9818</v>
      </c>
    </row>
    <row r="9" spans="1:7" s="650" customFormat="1" ht="21" customHeight="1">
      <c r="A9" s="630"/>
      <c r="B9" s="647" t="s">
        <v>217</v>
      </c>
      <c r="C9" s="647"/>
      <c r="D9" s="648" t="s">
        <v>215</v>
      </c>
      <c r="E9" s="649">
        <f>SUM(E10)</f>
        <v>15000</v>
      </c>
      <c r="F9" s="649">
        <f>SUM(F10)</f>
        <v>11847.27</v>
      </c>
      <c r="G9" s="634">
        <f>F9/E9*100</f>
        <v>78.9818</v>
      </c>
    </row>
    <row r="10" spans="1:7" s="654" customFormat="1" ht="21" customHeight="1">
      <c r="A10" s="636"/>
      <c r="B10" s="651"/>
      <c r="C10" s="651" t="s">
        <v>972</v>
      </c>
      <c r="D10" s="655" t="s">
        <v>971</v>
      </c>
      <c r="E10" s="653">
        <f>6DOCHODY!E14</f>
        <v>15000</v>
      </c>
      <c r="F10" s="653">
        <f>6DOCHODY!F14</f>
        <v>11847.27</v>
      </c>
      <c r="G10" s="641">
        <f>F10/E10*100</f>
        <v>78.9818</v>
      </c>
    </row>
    <row r="11" spans="1:7" s="646" customFormat="1" ht="19.5" customHeight="1" hidden="1">
      <c r="A11" s="624" t="s">
        <v>290</v>
      </c>
      <c r="B11" s="643"/>
      <c r="C11" s="643"/>
      <c r="D11" s="644" t="s">
        <v>1088</v>
      </c>
      <c r="E11" s="645">
        <f>E13</f>
        <v>0</v>
      </c>
      <c r="F11" s="645">
        <f>F12</f>
        <v>0</v>
      </c>
      <c r="G11" s="641" t="e">
        <f aca="true" t="shared" si="0" ref="G11:G26">F11/E11*100</f>
        <v>#DIV/0!</v>
      </c>
    </row>
    <row r="12" spans="1:7" s="650" customFormat="1" ht="21.75" customHeight="1" hidden="1">
      <c r="A12" s="630"/>
      <c r="B12" s="647" t="s">
        <v>991</v>
      </c>
      <c r="C12" s="647"/>
      <c r="D12" s="648" t="s">
        <v>992</v>
      </c>
      <c r="E12" s="664">
        <f>E13</f>
        <v>0</v>
      </c>
      <c r="F12" s="649">
        <f>F13</f>
        <v>0</v>
      </c>
      <c r="G12" s="641" t="e">
        <f t="shared" si="0"/>
        <v>#DIV/0!</v>
      </c>
    </row>
    <row r="13" spans="1:7" s="654" customFormat="1" ht="29.25" customHeight="1" hidden="1">
      <c r="A13" s="636"/>
      <c r="B13" s="651"/>
      <c r="C13" s="651" t="s">
        <v>993</v>
      </c>
      <c r="D13" s="655" t="s">
        <v>394</v>
      </c>
      <c r="E13" s="666">
        <v>0</v>
      </c>
      <c r="F13" s="653"/>
      <c r="G13" s="641" t="e">
        <f t="shared" si="0"/>
        <v>#DIV/0!</v>
      </c>
    </row>
    <row r="14" spans="1:7" s="650" customFormat="1" ht="19.5" customHeight="1">
      <c r="A14" s="624" t="s">
        <v>310</v>
      </c>
      <c r="B14" s="643"/>
      <c r="C14" s="643"/>
      <c r="D14" s="670" t="s">
        <v>311</v>
      </c>
      <c r="E14" s="671">
        <f>SUM(E15,E21)</f>
        <v>51805</v>
      </c>
      <c r="F14" s="802">
        <f>SUM(F15,F21)</f>
        <v>2896285.64</v>
      </c>
      <c r="G14" s="676">
        <f t="shared" si="0"/>
        <v>5590.745372068333</v>
      </c>
    </row>
    <row r="15" spans="1:7" s="650" customFormat="1" ht="19.5" customHeight="1">
      <c r="A15" s="630"/>
      <c r="B15" s="647" t="s">
        <v>313</v>
      </c>
      <c r="C15" s="647"/>
      <c r="D15" s="632" t="s">
        <v>314</v>
      </c>
      <c r="E15" s="664">
        <f>SUM(E16,E17,E18,E20)</f>
        <v>51805</v>
      </c>
      <c r="F15" s="664">
        <f>SUM(F16,F17,F18,F20)</f>
        <v>2896285.64</v>
      </c>
      <c r="G15" s="676">
        <f t="shared" si="0"/>
        <v>5590.745372068333</v>
      </c>
    </row>
    <row r="16" spans="1:7" s="654" customFormat="1" ht="20.25" customHeight="1">
      <c r="A16" s="636"/>
      <c r="B16" s="651"/>
      <c r="C16" s="651" t="s">
        <v>972</v>
      </c>
      <c r="D16" s="655" t="s">
        <v>971</v>
      </c>
      <c r="E16" s="653">
        <f>6DOCHODY!E33</f>
        <v>25000</v>
      </c>
      <c r="F16" s="653">
        <f>6DOCHODY!F33</f>
        <v>41962.69</v>
      </c>
      <c r="G16" s="641">
        <f t="shared" si="0"/>
        <v>167.85076</v>
      </c>
    </row>
    <row r="17" spans="1:7" s="654" customFormat="1" ht="55.5" customHeight="1">
      <c r="A17" s="636"/>
      <c r="B17" s="651"/>
      <c r="C17" s="651" t="s">
        <v>570</v>
      </c>
      <c r="D17" s="655" t="s">
        <v>807</v>
      </c>
      <c r="E17" s="640">
        <f>6DOCHODY!E37</f>
        <v>26805</v>
      </c>
      <c r="F17" s="640">
        <f>6DOCHODY!F37</f>
        <v>0</v>
      </c>
      <c r="G17" s="641">
        <f t="shared" si="0"/>
        <v>0</v>
      </c>
    </row>
    <row r="18" spans="1:7" s="654" customFormat="1" ht="54.75" customHeight="1">
      <c r="A18" s="636"/>
      <c r="B18" s="677"/>
      <c r="C18" s="651" t="s">
        <v>424</v>
      </c>
      <c r="D18" s="655" t="s">
        <v>807</v>
      </c>
      <c r="E18" s="640">
        <f>6DOCHODY!E38</f>
        <v>0</v>
      </c>
      <c r="F18" s="640">
        <f>6DOCHODY!F38</f>
        <v>2854322.95</v>
      </c>
      <c r="G18" s="641" t="s">
        <v>1195</v>
      </c>
    </row>
    <row r="19" spans="1:7" s="654" customFormat="1" ht="85.5" customHeight="1">
      <c r="A19" s="636"/>
      <c r="B19" s="677"/>
      <c r="C19" s="651"/>
      <c r="D19" s="639" t="s">
        <v>808</v>
      </c>
      <c r="E19" s="640"/>
      <c r="F19" s="640"/>
      <c r="G19" s="641"/>
    </row>
    <row r="20" spans="1:7" s="397" customFormat="1" ht="48" customHeight="1" hidden="1">
      <c r="A20" s="381"/>
      <c r="B20" s="404"/>
      <c r="C20" s="657" t="s">
        <v>565</v>
      </c>
      <c r="D20" s="659" t="s">
        <v>603</v>
      </c>
      <c r="E20" s="668">
        <f>6DOCHODY!E40</f>
        <v>0</v>
      </c>
      <c r="F20" s="668">
        <f>6DOCHODY!F40</f>
        <v>0</v>
      </c>
      <c r="G20" s="669" t="s">
        <v>1195</v>
      </c>
    </row>
    <row r="21" spans="1:7" ht="21.75" customHeight="1" hidden="1">
      <c r="A21" s="377"/>
      <c r="B21" s="405" t="s">
        <v>1549</v>
      </c>
      <c r="C21" s="390"/>
      <c r="D21" s="378" t="s">
        <v>1550</v>
      </c>
      <c r="E21" s="379">
        <f>SUM(E22,E24)</f>
        <v>0</v>
      </c>
      <c r="F21" s="379">
        <f>SUM(F22,F24)</f>
        <v>0</v>
      </c>
      <c r="G21" s="385" t="e">
        <f t="shared" si="0"/>
        <v>#DIV/0!</v>
      </c>
    </row>
    <row r="22" spans="1:7" s="397" customFormat="1" ht="54.75" customHeight="1" hidden="1">
      <c r="A22" s="381"/>
      <c r="B22" s="404"/>
      <c r="C22" s="394" t="s">
        <v>424</v>
      </c>
      <c r="D22" s="398" t="s">
        <v>807</v>
      </c>
      <c r="E22" s="384"/>
      <c r="F22" s="384"/>
      <c r="G22" s="385" t="e">
        <f t="shared" si="0"/>
        <v>#DIV/0!</v>
      </c>
    </row>
    <row r="23" spans="1:7" s="397" customFormat="1" ht="66.75" customHeight="1" hidden="1">
      <c r="A23" s="381"/>
      <c r="B23" s="404"/>
      <c r="C23" s="394"/>
      <c r="D23" s="383" t="s">
        <v>1398</v>
      </c>
      <c r="E23" s="384"/>
      <c r="F23" s="384"/>
      <c r="G23" s="385" t="e">
        <f t="shared" si="0"/>
        <v>#DIV/0!</v>
      </c>
    </row>
    <row r="24" spans="1:7" s="397" customFormat="1" ht="54" customHeight="1" hidden="1">
      <c r="A24" s="381"/>
      <c r="B24" s="404"/>
      <c r="C24" s="394" t="s">
        <v>926</v>
      </c>
      <c r="D24" s="398" t="s">
        <v>807</v>
      </c>
      <c r="E24" s="384"/>
      <c r="F24" s="384"/>
      <c r="G24" s="385" t="e">
        <f t="shared" si="0"/>
        <v>#DIV/0!</v>
      </c>
    </row>
    <row r="25" spans="1:7" s="397" customFormat="1" ht="66.75" customHeight="1" hidden="1">
      <c r="A25" s="381"/>
      <c r="B25" s="404"/>
      <c r="C25" s="394"/>
      <c r="D25" s="383" t="s">
        <v>1403</v>
      </c>
      <c r="E25" s="384"/>
      <c r="F25" s="384"/>
      <c r="G25" s="385" t="e">
        <f t="shared" si="0"/>
        <v>#DIV/0!</v>
      </c>
    </row>
    <row r="26" spans="1:7" s="646" customFormat="1" ht="15" customHeight="1">
      <c r="A26" s="624" t="s">
        <v>315</v>
      </c>
      <c r="B26" s="643"/>
      <c r="C26" s="643"/>
      <c r="D26" s="670" t="s">
        <v>316</v>
      </c>
      <c r="E26" s="645">
        <f>SUM(E27,E29)</f>
        <v>956478</v>
      </c>
      <c r="F26" s="645">
        <f>SUM(F27,F29)</f>
        <v>90953.53</v>
      </c>
      <c r="G26" s="628">
        <f t="shared" si="0"/>
        <v>9.509212966738389</v>
      </c>
    </row>
    <row r="27" spans="1:7" s="650" customFormat="1" ht="16.5" customHeight="1" hidden="1">
      <c r="A27" s="630"/>
      <c r="B27" s="647" t="s">
        <v>396</v>
      </c>
      <c r="C27" s="647"/>
      <c r="D27" s="632" t="s">
        <v>397</v>
      </c>
      <c r="E27" s="649">
        <f>SUM(E28)</f>
        <v>0</v>
      </c>
      <c r="F27" s="649">
        <f>SUM(F28)</f>
        <v>0</v>
      </c>
      <c r="G27" s="634" t="s">
        <v>1195</v>
      </c>
    </row>
    <row r="28" spans="1:7" s="650" customFormat="1" ht="21" customHeight="1" hidden="1">
      <c r="A28" s="636"/>
      <c r="B28" s="651"/>
      <c r="C28" s="651" t="s">
        <v>972</v>
      </c>
      <c r="D28" s="655" t="s">
        <v>971</v>
      </c>
      <c r="E28" s="653">
        <f>6DOCHODY!E54</f>
        <v>0</v>
      </c>
      <c r="F28" s="653">
        <f>6DOCHODY!F54</f>
        <v>0</v>
      </c>
      <c r="G28" s="641" t="s">
        <v>1195</v>
      </c>
    </row>
    <row r="29" spans="1:7" s="654" customFormat="1" ht="18" customHeight="1">
      <c r="A29" s="630"/>
      <c r="B29" s="647" t="s">
        <v>1715</v>
      </c>
      <c r="C29" s="647"/>
      <c r="D29" s="632" t="s">
        <v>215</v>
      </c>
      <c r="E29" s="649">
        <f>SUM(E30,E31,E33,E35)</f>
        <v>956478</v>
      </c>
      <c r="F29" s="649">
        <f>SUM(F30,F31,F33,F35)</f>
        <v>90953.53</v>
      </c>
      <c r="G29" s="634">
        <f>F29/E29*100</f>
        <v>9.509212966738389</v>
      </c>
    </row>
    <row r="30" spans="1:7" s="654" customFormat="1" ht="29.25" customHeight="1" hidden="1">
      <c r="A30" s="636"/>
      <c r="B30" s="651"/>
      <c r="C30" s="651" t="s">
        <v>988</v>
      </c>
      <c r="D30" s="655" t="s">
        <v>436</v>
      </c>
      <c r="E30" s="653">
        <v>0</v>
      </c>
      <c r="F30" s="653">
        <v>0</v>
      </c>
      <c r="G30" s="634" t="e">
        <f>F30/E30*100</f>
        <v>#DIV/0!</v>
      </c>
    </row>
    <row r="31" spans="1:7" s="654" customFormat="1" ht="72" customHeight="1">
      <c r="A31" s="636"/>
      <c r="B31" s="651"/>
      <c r="C31" s="637" t="s">
        <v>345</v>
      </c>
      <c r="D31" s="692" t="s">
        <v>347</v>
      </c>
      <c r="E31" s="653">
        <f>6DOCHODY!E62</f>
        <v>826649</v>
      </c>
      <c r="F31" s="653">
        <f>6DOCHODY!F62</f>
        <v>90953.53</v>
      </c>
      <c r="G31" s="634">
        <f>F31/E31*100</f>
        <v>11.002678283043952</v>
      </c>
    </row>
    <row r="32" spans="1:7" s="654" customFormat="1" ht="30" customHeight="1">
      <c r="A32" s="636"/>
      <c r="B32" s="651"/>
      <c r="C32" s="637"/>
      <c r="D32" s="639" t="s">
        <v>111</v>
      </c>
      <c r="E32" s="653"/>
      <c r="F32" s="653"/>
      <c r="G32" s="634"/>
    </row>
    <row r="33" spans="1:7" s="654" customFormat="1" ht="69.75" customHeight="1">
      <c r="A33" s="636"/>
      <c r="B33" s="651"/>
      <c r="C33" s="637" t="s">
        <v>346</v>
      </c>
      <c r="D33" s="692" t="s">
        <v>347</v>
      </c>
      <c r="E33" s="653">
        <f>6DOCHODY!E64</f>
        <v>129829</v>
      </c>
      <c r="F33" s="653">
        <f>6DOCHODY!F64</f>
        <v>0</v>
      </c>
      <c r="G33" s="641" t="s">
        <v>1195</v>
      </c>
    </row>
    <row r="34" spans="1:7" s="654" customFormat="1" ht="78" customHeight="1">
      <c r="A34" s="636"/>
      <c r="B34" s="651"/>
      <c r="C34" s="637"/>
      <c r="D34" s="639" t="s">
        <v>319</v>
      </c>
      <c r="E34" s="653"/>
      <c r="F34" s="653"/>
      <c r="G34" s="641"/>
    </row>
    <row r="35" spans="1:7" s="654" customFormat="1" ht="51.75" customHeight="1" hidden="1">
      <c r="A35" s="636"/>
      <c r="B35" s="651"/>
      <c r="C35" s="651" t="s">
        <v>424</v>
      </c>
      <c r="D35" s="655" t="s">
        <v>807</v>
      </c>
      <c r="E35" s="653">
        <f>6DOCHODY!E66</f>
        <v>0</v>
      </c>
      <c r="F35" s="653">
        <f>6DOCHODY!F66</f>
        <v>0</v>
      </c>
      <c r="G35" s="641" t="e">
        <f>F35/E35*100</f>
        <v>#DIV/0!</v>
      </c>
    </row>
    <row r="36" spans="1:7" s="654" customFormat="1" ht="81" customHeight="1" hidden="1">
      <c r="A36" s="636"/>
      <c r="B36" s="651"/>
      <c r="C36" s="651"/>
      <c r="D36" s="639" t="s">
        <v>808</v>
      </c>
      <c r="E36" s="653"/>
      <c r="F36" s="653"/>
      <c r="G36" s="641"/>
    </row>
    <row r="37" spans="1:7" s="646" customFormat="1" ht="21" customHeight="1">
      <c r="A37" s="624" t="s">
        <v>317</v>
      </c>
      <c r="B37" s="643"/>
      <c r="C37" s="643"/>
      <c r="D37" s="644" t="s">
        <v>257</v>
      </c>
      <c r="E37" s="645">
        <f>SUM(E38,E43,E47)</f>
        <v>27092287</v>
      </c>
      <c r="F37" s="645">
        <f>SUM(F38,F43,F47)</f>
        <v>21621713.63</v>
      </c>
      <c r="G37" s="628">
        <f>F37/E37*100</f>
        <v>79.80763539822237</v>
      </c>
    </row>
    <row r="38" spans="1:7" s="646" customFormat="1" ht="21" customHeight="1">
      <c r="A38" s="624"/>
      <c r="B38" s="647" t="s">
        <v>1717</v>
      </c>
      <c r="C38" s="647"/>
      <c r="D38" s="648" t="s">
        <v>1719</v>
      </c>
      <c r="E38" s="649">
        <f>SUM(E39,E41)</f>
        <v>1009290</v>
      </c>
      <c r="F38" s="649">
        <f>SUM(F39,F41)</f>
        <v>283576.79</v>
      </c>
      <c r="G38" s="634">
        <f>F38/E38*100</f>
        <v>28.096661019132256</v>
      </c>
    </row>
    <row r="39" spans="1:7" s="646" customFormat="1" ht="69" customHeight="1">
      <c r="A39" s="624"/>
      <c r="B39" s="643"/>
      <c r="C39" s="731" t="s">
        <v>345</v>
      </c>
      <c r="D39" s="732" t="s">
        <v>347</v>
      </c>
      <c r="E39" s="661">
        <v>0</v>
      </c>
      <c r="F39" s="661">
        <v>283576.79</v>
      </c>
      <c r="G39" s="662" t="s">
        <v>1195</v>
      </c>
    </row>
    <row r="40" spans="1:7" s="646" customFormat="1" ht="27.75" customHeight="1">
      <c r="A40" s="624"/>
      <c r="B40" s="643"/>
      <c r="C40" s="658"/>
      <c r="D40" s="659" t="s">
        <v>111</v>
      </c>
      <c r="E40" s="661"/>
      <c r="F40" s="661"/>
      <c r="G40" s="662"/>
    </row>
    <row r="41" spans="1:7" s="646" customFormat="1" ht="68.25" customHeight="1">
      <c r="A41" s="624"/>
      <c r="B41" s="643"/>
      <c r="C41" s="657" t="s">
        <v>370</v>
      </c>
      <c r="D41" s="732" t="s">
        <v>347</v>
      </c>
      <c r="E41" s="661">
        <v>1009290</v>
      </c>
      <c r="F41" s="661">
        <v>0</v>
      </c>
      <c r="G41" s="662">
        <f>F41/E41*100</f>
        <v>0</v>
      </c>
    </row>
    <row r="42" spans="1:7" s="646" customFormat="1" ht="82.5" customHeight="1">
      <c r="A42" s="624"/>
      <c r="B42" s="643"/>
      <c r="C42" s="657"/>
      <c r="D42" s="659" t="s">
        <v>808</v>
      </c>
      <c r="E42" s="661"/>
      <c r="F42" s="661"/>
      <c r="G42" s="662"/>
    </row>
    <row r="43" spans="1:7" s="650" customFormat="1" ht="21" customHeight="1">
      <c r="A43" s="636"/>
      <c r="B43" s="647" t="s">
        <v>258</v>
      </c>
      <c r="C43" s="647"/>
      <c r="D43" s="648" t="s">
        <v>259</v>
      </c>
      <c r="E43" s="649">
        <f>SUM(E44,E45)</f>
        <v>26082997</v>
      </c>
      <c r="F43" s="649">
        <f>SUM(F44,F45)</f>
        <v>21338136.84</v>
      </c>
      <c r="G43" s="634">
        <f>F43/E43*100</f>
        <v>81.80860826691043</v>
      </c>
    </row>
    <row r="44" spans="1:7" s="654" customFormat="1" ht="42" customHeight="1">
      <c r="A44" s="636"/>
      <c r="B44" s="651"/>
      <c r="C44" s="651" t="s">
        <v>996</v>
      </c>
      <c r="D44" s="655" t="s">
        <v>1164</v>
      </c>
      <c r="E44" s="653">
        <f>6DOCHODY!E82</f>
        <v>1200000</v>
      </c>
      <c r="F44" s="653">
        <f>6DOCHODY!F82</f>
        <v>1521321.06</v>
      </c>
      <c r="G44" s="641">
        <f>F44/E44*100</f>
        <v>126.77675500000001</v>
      </c>
    </row>
    <row r="45" spans="1:7" s="693" customFormat="1" ht="39" customHeight="1">
      <c r="A45" s="636"/>
      <c r="B45" s="651"/>
      <c r="C45" s="651" t="s">
        <v>997</v>
      </c>
      <c r="D45" s="655" t="s">
        <v>809</v>
      </c>
      <c r="E45" s="653">
        <f>6DOCHODY!E83</f>
        <v>24882997</v>
      </c>
      <c r="F45" s="653">
        <f>6DOCHODY!F83</f>
        <v>19816815.78</v>
      </c>
      <c r="G45" s="641">
        <f>F45/E45*100</f>
        <v>79.6399878197952</v>
      </c>
    </row>
    <row r="46" spans="1:7" s="654" customFormat="1" ht="14.25" customHeight="1" hidden="1">
      <c r="A46" s="679"/>
      <c r="B46" s="680"/>
      <c r="C46" s="638">
        <v>6290</v>
      </c>
      <c r="D46" s="655" t="s">
        <v>807</v>
      </c>
      <c r="E46" s="682">
        <v>0</v>
      </c>
      <c r="F46" s="682">
        <v>0</v>
      </c>
      <c r="G46" s="641" t="e">
        <f>F46/E46*100</f>
        <v>#DIV/0!</v>
      </c>
    </row>
    <row r="47" spans="1:8" s="654" customFormat="1" ht="21" customHeight="1" hidden="1">
      <c r="A47" s="694"/>
      <c r="B47" s="705" t="s">
        <v>1720</v>
      </c>
      <c r="C47" s="705"/>
      <c r="D47" s="706" t="s">
        <v>215</v>
      </c>
      <c r="E47" s="698">
        <f>E48</f>
        <v>0</v>
      </c>
      <c r="F47" s="698">
        <f>F48</f>
        <v>0</v>
      </c>
      <c r="G47" s="641" t="s">
        <v>1195</v>
      </c>
      <c r="H47" s="650"/>
    </row>
    <row r="48" spans="1:7" s="654" customFormat="1" ht="54" customHeight="1" hidden="1">
      <c r="A48" s="679"/>
      <c r="B48" s="680"/>
      <c r="C48" s="638">
        <v>6290</v>
      </c>
      <c r="D48" s="655" t="s">
        <v>807</v>
      </c>
      <c r="E48" s="682">
        <f>6DOCHODY!E92</f>
        <v>0</v>
      </c>
      <c r="F48" s="682">
        <f>6DOCHODY!F92</f>
        <v>0</v>
      </c>
      <c r="G48" s="641" t="s">
        <v>1195</v>
      </c>
    </row>
    <row r="49" spans="1:7" s="654" customFormat="1" ht="24" customHeight="1" hidden="1">
      <c r="A49" s="699" t="s">
        <v>941</v>
      </c>
      <c r="B49" s="700"/>
      <c r="C49" s="700"/>
      <c r="D49" s="702" t="s">
        <v>942</v>
      </c>
      <c r="E49" s="672">
        <f>SUM(E50,E52)</f>
        <v>0</v>
      </c>
      <c r="F49" s="672">
        <f>SUM(F50,F52)</f>
        <v>0</v>
      </c>
      <c r="G49" s="628" t="s">
        <v>1195</v>
      </c>
    </row>
    <row r="50" spans="1:8" s="654" customFormat="1" ht="21" customHeight="1" hidden="1">
      <c r="A50" s="694"/>
      <c r="B50" s="705" t="s">
        <v>1</v>
      </c>
      <c r="C50" s="705"/>
      <c r="D50" s="706" t="s">
        <v>383</v>
      </c>
      <c r="E50" s="698">
        <f>E51</f>
        <v>0</v>
      </c>
      <c r="F50" s="698">
        <f>F51</f>
        <v>0</v>
      </c>
      <c r="G50" s="634" t="s">
        <v>1195</v>
      </c>
      <c r="H50" s="650"/>
    </row>
    <row r="51" spans="1:7" s="654" customFormat="1" ht="22.5" customHeight="1" hidden="1">
      <c r="A51" s="679"/>
      <c r="B51" s="680"/>
      <c r="C51" s="681" t="s">
        <v>972</v>
      </c>
      <c r="D51" s="639" t="s">
        <v>971</v>
      </c>
      <c r="E51" s="682">
        <f>6DOCHODY!E111</f>
        <v>0</v>
      </c>
      <c r="F51" s="682">
        <f>6DOCHODY!F111</f>
        <v>0</v>
      </c>
      <c r="G51" s="641" t="s">
        <v>1195</v>
      </c>
    </row>
    <row r="52" spans="1:7" s="650" customFormat="1" ht="19.5" customHeight="1" hidden="1">
      <c r="A52" s="694"/>
      <c r="B52" s="695" t="s">
        <v>3</v>
      </c>
      <c r="C52" s="712"/>
      <c r="D52" s="697" t="s">
        <v>215</v>
      </c>
      <c r="E52" s="698">
        <f>SUM(E53,E55)</f>
        <v>0</v>
      </c>
      <c r="F52" s="698">
        <f>SUM(F53,F55)</f>
        <v>0</v>
      </c>
      <c r="G52" s="634" t="s">
        <v>1195</v>
      </c>
    </row>
    <row r="53" spans="1:7" s="654" customFormat="1" ht="66" customHeight="1" hidden="1">
      <c r="A53" s="679"/>
      <c r="B53" s="680"/>
      <c r="C53" s="681" t="s">
        <v>345</v>
      </c>
      <c r="D53" s="692" t="s">
        <v>347</v>
      </c>
      <c r="E53" s="682">
        <f>6DOCHODY!E134</f>
        <v>0</v>
      </c>
      <c r="F53" s="682">
        <f>6DOCHODY!F134</f>
        <v>0</v>
      </c>
      <c r="G53" s="641" t="s">
        <v>1195</v>
      </c>
    </row>
    <row r="54" spans="1:7" s="654" customFormat="1" ht="30.75" customHeight="1" hidden="1">
      <c r="A54" s="679"/>
      <c r="B54" s="680"/>
      <c r="C54" s="681"/>
      <c r="D54" s="692" t="s">
        <v>111</v>
      </c>
      <c r="E54" s="682"/>
      <c r="F54" s="682"/>
      <c r="G54" s="641"/>
    </row>
    <row r="55" spans="1:7" s="654" customFormat="1" ht="54.75" customHeight="1" hidden="1">
      <c r="A55" s="679"/>
      <c r="B55" s="680"/>
      <c r="C55" s="681" t="s">
        <v>570</v>
      </c>
      <c r="D55" s="655" t="s">
        <v>807</v>
      </c>
      <c r="E55" s="682"/>
      <c r="F55" s="682"/>
      <c r="G55" s="641" t="e">
        <f>F55/E55*100</f>
        <v>#DIV/0!</v>
      </c>
    </row>
    <row r="56" spans="1:7" s="650" customFormat="1" ht="33.75" customHeight="1" hidden="1">
      <c r="A56" s="699" t="s">
        <v>5</v>
      </c>
      <c r="B56" s="700"/>
      <c r="C56" s="700"/>
      <c r="D56" s="718" t="s">
        <v>86</v>
      </c>
      <c r="E56" s="672">
        <f>E57</f>
        <v>0</v>
      </c>
      <c r="F56" s="672">
        <f>F57</f>
        <v>0</v>
      </c>
      <c r="G56" s="628" t="s">
        <v>1195</v>
      </c>
    </row>
    <row r="57" spans="1:7" s="650" customFormat="1" ht="21" customHeight="1" hidden="1">
      <c r="A57" s="694"/>
      <c r="B57" s="705" t="s">
        <v>1729</v>
      </c>
      <c r="C57" s="705"/>
      <c r="D57" s="706" t="s">
        <v>1730</v>
      </c>
      <c r="E57" s="698">
        <f>SUM(E58,E60)</f>
        <v>0</v>
      </c>
      <c r="F57" s="698">
        <f>SUM(F58,F60)</f>
        <v>0</v>
      </c>
      <c r="G57" s="634" t="s">
        <v>1195</v>
      </c>
    </row>
    <row r="58" spans="1:7" s="654" customFormat="1" ht="67.5" customHeight="1" hidden="1">
      <c r="A58" s="722"/>
      <c r="B58" s="723"/>
      <c r="C58" s="680" t="s">
        <v>345</v>
      </c>
      <c r="D58" s="692" t="s">
        <v>347</v>
      </c>
      <c r="E58" s="682">
        <f>6DOCHODY!E148</f>
        <v>0</v>
      </c>
      <c r="F58" s="682">
        <f>6DOCHODY!F148</f>
        <v>0</v>
      </c>
      <c r="G58" s="641" t="s">
        <v>1195</v>
      </c>
    </row>
    <row r="59" spans="1:7" s="654" customFormat="1" ht="27" customHeight="1" hidden="1">
      <c r="A59" s="722"/>
      <c r="B59" s="723"/>
      <c r="C59" s="680"/>
      <c r="D59" s="639" t="s">
        <v>111</v>
      </c>
      <c r="E59" s="682"/>
      <c r="F59" s="682"/>
      <c r="G59" s="641"/>
    </row>
    <row r="60" spans="1:7" s="654" customFormat="1" ht="56.25" customHeight="1" hidden="1">
      <c r="A60" s="722"/>
      <c r="B60" s="723"/>
      <c r="C60" s="680" t="s">
        <v>348</v>
      </c>
      <c r="D60" s="655" t="s">
        <v>807</v>
      </c>
      <c r="E60" s="682">
        <f>6DOCHODY!E150</f>
        <v>0</v>
      </c>
      <c r="F60" s="682">
        <f>6DOCHODY!F150</f>
        <v>0</v>
      </c>
      <c r="G60" s="641" t="e">
        <f>F60/E60*100</f>
        <v>#DIV/0!</v>
      </c>
    </row>
    <row r="61" spans="1:7" s="654" customFormat="1" ht="30.75" customHeight="1" hidden="1">
      <c r="A61" s="722"/>
      <c r="B61" s="723"/>
      <c r="C61" s="680"/>
      <c r="D61" s="639" t="s">
        <v>111</v>
      </c>
      <c r="E61" s="682"/>
      <c r="F61" s="682"/>
      <c r="G61" s="641"/>
    </row>
    <row r="62" spans="1:7" s="646" customFormat="1" ht="19.5" customHeight="1">
      <c r="A62" s="699" t="s">
        <v>10</v>
      </c>
      <c r="B62" s="700"/>
      <c r="C62" s="700"/>
      <c r="D62" s="702" t="s">
        <v>11</v>
      </c>
      <c r="E62" s="672">
        <f>SUM(E63)</f>
        <v>0</v>
      </c>
      <c r="F62" s="672">
        <f>SUM(F63)</f>
        <v>41238.86</v>
      </c>
      <c r="G62" s="628" t="s">
        <v>1195</v>
      </c>
    </row>
    <row r="63" spans="1:7" s="650" customFormat="1" ht="19.5" customHeight="1">
      <c r="A63" s="694"/>
      <c r="B63" s="695" t="s">
        <v>1203</v>
      </c>
      <c r="C63" s="695"/>
      <c r="D63" s="703" t="s">
        <v>1204</v>
      </c>
      <c r="E63" s="698">
        <f>SUM(E64)</f>
        <v>0</v>
      </c>
      <c r="F63" s="698">
        <f>SUM(F64)</f>
        <v>41238.86</v>
      </c>
      <c r="G63" s="634" t="s">
        <v>1195</v>
      </c>
    </row>
    <row r="64" spans="1:7" s="654" customFormat="1" ht="42.75" customHeight="1">
      <c r="A64" s="679"/>
      <c r="B64" s="680"/>
      <c r="C64" s="681" t="s">
        <v>1652</v>
      </c>
      <c r="D64" s="639" t="s">
        <v>1644</v>
      </c>
      <c r="E64" s="682">
        <f>6DOCHODY!E217</f>
        <v>0</v>
      </c>
      <c r="F64" s="682">
        <f>6DOCHODY!F217</f>
        <v>41238.86</v>
      </c>
      <c r="G64" s="641" t="s">
        <v>1195</v>
      </c>
    </row>
    <row r="65" spans="1:7" s="646" customFormat="1" ht="18.75" customHeight="1">
      <c r="A65" s="699" t="s">
        <v>12</v>
      </c>
      <c r="B65" s="700"/>
      <c r="C65" s="700"/>
      <c r="D65" s="702" t="s">
        <v>13</v>
      </c>
      <c r="E65" s="672">
        <f>SUM(E66)</f>
        <v>1301805</v>
      </c>
      <c r="F65" s="672">
        <f>SUM(F66)</f>
        <v>1174321.62</v>
      </c>
      <c r="G65" s="628">
        <f>F65/E65*100</f>
        <v>90.20718310346021</v>
      </c>
    </row>
    <row r="66" spans="1:7" s="650" customFormat="1" ht="18.75" customHeight="1">
      <c r="A66" s="694"/>
      <c r="B66" s="695" t="s">
        <v>14</v>
      </c>
      <c r="C66" s="695"/>
      <c r="D66" s="703" t="s">
        <v>15</v>
      </c>
      <c r="E66" s="698">
        <f>SUM(E67,E69,E71)</f>
        <v>1301805</v>
      </c>
      <c r="F66" s="698">
        <f>SUM(F67,F69,F71)</f>
        <v>1174321.62</v>
      </c>
      <c r="G66" s="641">
        <f>F66/E66*100</f>
        <v>90.20718310346021</v>
      </c>
    </row>
    <row r="67" spans="1:7" s="663" customFormat="1" ht="69.75" customHeight="1">
      <c r="A67" s="730"/>
      <c r="B67" s="731"/>
      <c r="C67" s="731" t="s">
        <v>345</v>
      </c>
      <c r="D67" s="732" t="s">
        <v>347</v>
      </c>
      <c r="E67" s="733">
        <f>6DOCHODY!E223</f>
        <v>0</v>
      </c>
      <c r="F67" s="733">
        <f>6DOCHODY!F223</f>
        <v>262795.65</v>
      </c>
      <c r="G67" s="662" t="s">
        <v>1195</v>
      </c>
    </row>
    <row r="68" spans="1:7" s="663" customFormat="1" ht="30.75" customHeight="1">
      <c r="A68" s="730"/>
      <c r="B68" s="731"/>
      <c r="C68" s="731"/>
      <c r="D68" s="732" t="s">
        <v>111</v>
      </c>
      <c r="E68" s="733"/>
      <c r="F68" s="733"/>
      <c r="G68" s="662"/>
    </row>
    <row r="69" spans="1:7" s="654" customFormat="1" ht="52.5" customHeight="1">
      <c r="A69" s="679"/>
      <c r="B69" s="680"/>
      <c r="C69" s="680" t="s">
        <v>424</v>
      </c>
      <c r="D69" s="655" t="s">
        <v>807</v>
      </c>
      <c r="E69" s="682">
        <f>6DOCHODY!E225</f>
        <v>1237955</v>
      </c>
      <c r="F69" s="682">
        <f>6DOCHODY!F225</f>
        <v>849472.47</v>
      </c>
      <c r="G69" s="641">
        <f>F69/E69*100</f>
        <v>68.61901038406081</v>
      </c>
    </row>
    <row r="70" spans="1:7" s="654" customFormat="1" ht="78" customHeight="1">
      <c r="A70" s="679"/>
      <c r="B70" s="680"/>
      <c r="C70" s="680"/>
      <c r="D70" s="639" t="s">
        <v>808</v>
      </c>
      <c r="E70" s="682"/>
      <c r="F70" s="682"/>
      <c r="G70" s="641"/>
    </row>
    <row r="71" spans="1:7" s="654" customFormat="1" ht="47.25" customHeight="1">
      <c r="A71" s="679"/>
      <c r="B71" s="680"/>
      <c r="C71" s="681" t="s">
        <v>565</v>
      </c>
      <c r="D71" s="639" t="s">
        <v>603</v>
      </c>
      <c r="E71" s="682">
        <f>6DOCHODY!E227</f>
        <v>63850</v>
      </c>
      <c r="F71" s="682">
        <f>6DOCHODY!F227</f>
        <v>62053.5</v>
      </c>
      <c r="G71" s="641">
        <f>F71/E71*100</f>
        <v>97.18637431480032</v>
      </c>
    </row>
    <row r="72" spans="1:7" s="397" customFormat="1" ht="21" customHeight="1" hidden="1">
      <c r="A72" s="419" t="s">
        <v>21</v>
      </c>
      <c r="B72" s="420"/>
      <c r="C72" s="421"/>
      <c r="D72" s="422" t="s">
        <v>22</v>
      </c>
      <c r="E72" s="401">
        <f>SUM(E73)</f>
        <v>0</v>
      </c>
      <c r="F72" s="401">
        <f>SUM(F73)</f>
        <v>0</v>
      </c>
      <c r="G72" s="376" t="e">
        <f aca="true" t="shared" si="1" ref="G72:G78">F72/E72*100</f>
        <v>#DIV/0!</v>
      </c>
    </row>
    <row r="73" spans="1:7" s="397" customFormat="1" ht="23.25" customHeight="1" hidden="1">
      <c r="A73" s="406"/>
      <c r="B73" s="425" t="s">
        <v>23</v>
      </c>
      <c r="C73" s="438"/>
      <c r="D73" s="426" t="s">
        <v>24</v>
      </c>
      <c r="E73" s="418">
        <f>SUM(E74)</f>
        <v>0</v>
      </c>
      <c r="F73" s="418">
        <f>SUM(F74)</f>
        <v>0</v>
      </c>
      <c r="G73" s="380" t="e">
        <f t="shared" si="1"/>
        <v>#DIV/0!</v>
      </c>
    </row>
    <row r="74" spans="1:7" s="397" customFormat="1" ht="54.75" customHeight="1" hidden="1">
      <c r="A74" s="406"/>
      <c r="B74" s="407"/>
      <c r="C74" s="428" t="s">
        <v>424</v>
      </c>
      <c r="D74" s="398" t="s">
        <v>807</v>
      </c>
      <c r="E74" s="409">
        <f>6DOCHODY!E267</f>
        <v>0</v>
      </c>
      <c r="F74" s="409">
        <f>6DOCHODY!F267</f>
        <v>0</v>
      </c>
      <c r="G74" s="385" t="e">
        <f t="shared" si="1"/>
        <v>#DIV/0!</v>
      </c>
    </row>
    <row r="75" spans="1:7" s="397" customFormat="1" ht="78.75" customHeight="1" hidden="1">
      <c r="A75" s="406"/>
      <c r="B75" s="407"/>
      <c r="C75" s="428"/>
      <c r="D75" s="383" t="s">
        <v>808</v>
      </c>
      <c r="E75" s="409"/>
      <c r="F75" s="409"/>
      <c r="G75" s="385"/>
    </row>
    <row r="76" spans="1:7" s="397" customFormat="1" ht="33" customHeight="1" hidden="1">
      <c r="A76" s="419" t="s">
        <v>25</v>
      </c>
      <c r="B76" s="420"/>
      <c r="C76" s="443"/>
      <c r="D76" s="431" t="s">
        <v>1095</v>
      </c>
      <c r="E76" s="401">
        <f>SUM(E77)</f>
        <v>0</v>
      </c>
      <c r="F76" s="401">
        <f>SUM(F77)</f>
        <v>0</v>
      </c>
      <c r="G76" s="376" t="e">
        <f t="shared" si="1"/>
        <v>#DIV/0!</v>
      </c>
    </row>
    <row r="77" spans="1:7" s="397" customFormat="1" ht="26.25" customHeight="1" hidden="1">
      <c r="A77" s="406"/>
      <c r="B77" s="415" t="s">
        <v>1099</v>
      </c>
      <c r="C77" s="430"/>
      <c r="D77" s="378" t="s">
        <v>215</v>
      </c>
      <c r="E77" s="409">
        <f>SUM(E78)</f>
        <v>0</v>
      </c>
      <c r="F77" s="409">
        <f>SUM(F78)</f>
        <v>0</v>
      </c>
      <c r="G77" s="380" t="e">
        <f t="shared" si="1"/>
        <v>#DIV/0!</v>
      </c>
    </row>
    <row r="78" spans="1:7" s="397" customFormat="1" ht="54" customHeight="1" hidden="1">
      <c r="A78" s="406"/>
      <c r="B78" s="407"/>
      <c r="C78" s="428" t="s">
        <v>424</v>
      </c>
      <c r="D78" s="398" t="s">
        <v>807</v>
      </c>
      <c r="E78" s="409">
        <f>6DOCHODY!E352</f>
        <v>0</v>
      </c>
      <c r="F78" s="409">
        <f>6DOCHODY!F352</f>
        <v>0</v>
      </c>
      <c r="G78" s="385" t="e">
        <f t="shared" si="1"/>
        <v>#DIV/0!</v>
      </c>
    </row>
    <row r="79" spans="1:7" s="397" customFormat="1" ht="76.5" customHeight="1" hidden="1">
      <c r="A79" s="406"/>
      <c r="B79" s="407"/>
      <c r="C79" s="428"/>
      <c r="D79" s="383" t="s">
        <v>808</v>
      </c>
      <c r="E79" s="409"/>
      <c r="F79" s="409"/>
      <c r="G79" s="385"/>
    </row>
    <row r="80" spans="1:7" s="654" customFormat="1" ht="29.25" customHeight="1">
      <c r="A80" s="699" t="s">
        <v>91</v>
      </c>
      <c r="B80" s="700"/>
      <c r="C80" s="700"/>
      <c r="D80" s="718" t="s">
        <v>1208</v>
      </c>
      <c r="E80" s="672">
        <f>SUM(E81,E86)</f>
        <v>3571666</v>
      </c>
      <c r="F80" s="672">
        <f>SUM(F81,F86)</f>
        <v>4708162.569999999</v>
      </c>
      <c r="G80" s="628">
        <f>F80/E80*100</f>
        <v>131.81978858045517</v>
      </c>
    </row>
    <row r="81" spans="1:7" s="650" customFormat="1" ht="18" customHeight="1">
      <c r="A81" s="694"/>
      <c r="B81" s="695" t="s">
        <v>1248</v>
      </c>
      <c r="C81" s="712"/>
      <c r="D81" s="697" t="s">
        <v>1249</v>
      </c>
      <c r="E81" s="698">
        <f>SUM(E82,E84)</f>
        <v>2572540</v>
      </c>
      <c r="F81" s="698">
        <f>SUM(F82,F84)</f>
        <v>3707065.4699999997</v>
      </c>
      <c r="G81" s="634">
        <f>F81/E81*100</f>
        <v>144.10137335085167</v>
      </c>
    </row>
    <row r="82" spans="1:7" s="654" customFormat="1" ht="67.5" customHeight="1">
      <c r="A82" s="722"/>
      <c r="B82" s="723"/>
      <c r="C82" s="680" t="s">
        <v>345</v>
      </c>
      <c r="D82" s="692" t="s">
        <v>347</v>
      </c>
      <c r="E82" s="682">
        <f>6DOCHODY!E373</f>
        <v>0</v>
      </c>
      <c r="F82" s="682">
        <f>6DOCHODY!F373</f>
        <v>1813194.46</v>
      </c>
      <c r="G82" s="641" t="s">
        <v>1195</v>
      </c>
    </row>
    <row r="83" spans="1:7" s="654" customFormat="1" ht="27" customHeight="1">
      <c r="A83" s="679"/>
      <c r="B83" s="680"/>
      <c r="C83" s="681"/>
      <c r="D83" s="639" t="s">
        <v>111</v>
      </c>
      <c r="E83" s="682"/>
      <c r="F83" s="682"/>
      <c r="G83" s="641"/>
    </row>
    <row r="84" spans="1:7" s="650" customFormat="1" ht="53.25" customHeight="1">
      <c r="A84" s="679"/>
      <c r="B84" s="680"/>
      <c r="C84" s="681" t="s">
        <v>424</v>
      </c>
      <c r="D84" s="655" t="s">
        <v>807</v>
      </c>
      <c r="E84" s="682">
        <f>6DOCHODY!E376</f>
        <v>2572540</v>
      </c>
      <c r="F84" s="682">
        <f>6DOCHODY!F376</f>
        <v>1893871.01</v>
      </c>
      <c r="G84" s="641">
        <f>F84/E84*100</f>
        <v>73.61871963118163</v>
      </c>
    </row>
    <row r="85" spans="1:7" s="650" customFormat="1" ht="81" customHeight="1">
      <c r="A85" s="679"/>
      <c r="B85" s="680"/>
      <c r="C85" s="681"/>
      <c r="D85" s="639" t="s">
        <v>808</v>
      </c>
      <c r="E85" s="682"/>
      <c r="F85" s="682"/>
      <c r="G85" s="641"/>
    </row>
    <row r="86" spans="1:7" s="650" customFormat="1" ht="20.25" customHeight="1">
      <c r="A86" s="752"/>
      <c r="B86" s="740" t="s">
        <v>95</v>
      </c>
      <c r="C86" s="740"/>
      <c r="D86" s="753" t="s">
        <v>215</v>
      </c>
      <c r="E86" s="698">
        <f>SUM(E87,E88)</f>
        <v>999126</v>
      </c>
      <c r="F86" s="698">
        <f>SUM(F87,F88)</f>
        <v>1001097.1</v>
      </c>
      <c r="G86" s="641">
        <f>F86/E86*100</f>
        <v>100.19728242483932</v>
      </c>
    </row>
    <row r="87" spans="1:7" s="654" customFormat="1" ht="21.75" customHeight="1">
      <c r="A87" s="679"/>
      <c r="B87" s="680"/>
      <c r="C87" s="681" t="s">
        <v>972</v>
      </c>
      <c r="D87" s="639" t="s">
        <v>971</v>
      </c>
      <c r="E87" s="682">
        <f>6DOCHODY!E394</f>
        <v>0</v>
      </c>
      <c r="F87" s="682">
        <f>6DOCHODY!F394</f>
        <v>1971.1</v>
      </c>
      <c r="G87" s="641" t="s">
        <v>1195</v>
      </c>
    </row>
    <row r="88" spans="1:7" s="442" customFormat="1" ht="55.5" customHeight="1">
      <c r="A88" s="427"/>
      <c r="B88" s="428"/>
      <c r="C88" s="407" t="s">
        <v>424</v>
      </c>
      <c r="D88" s="398" t="s">
        <v>807</v>
      </c>
      <c r="E88" s="429">
        <f>6DOCHODY!E398</f>
        <v>999126</v>
      </c>
      <c r="F88" s="429">
        <f>6DOCHODY!F398</f>
        <v>999126</v>
      </c>
      <c r="G88" s="403">
        <f>F88/E88*100</f>
        <v>100</v>
      </c>
    </row>
    <row r="89" spans="1:7" s="442" customFormat="1" ht="81.75" customHeight="1">
      <c r="A89" s="427"/>
      <c r="B89" s="428"/>
      <c r="C89" s="407"/>
      <c r="D89" s="383" t="s">
        <v>808</v>
      </c>
      <c r="E89" s="429"/>
      <c r="F89" s="429"/>
      <c r="G89" s="403"/>
    </row>
    <row r="90" spans="1:7" s="646" customFormat="1" ht="27.75" customHeight="1">
      <c r="A90" s="699" t="s">
        <v>118</v>
      </c>
      <c r="B90" s="700"/>
      <c r="C90" s="700"/>
      <c r="D90" s="718" t="s">
        <v>1258</v>
      </c>
      <c r="E90" s="672">
        <f>SUM(E91,E93,E98)</f>
        <v>125000</v>
      </c>
      <c r="F90" s="672">
        <f>SUM(F91,F93,F98)</f>
        <v>239157.14</v>
      </c>
      <c r="G90" s="1847">
        <f>F90/E90*100</f>
        <v>191.325712</v>
      </c>
    </row>
    <row r="91" spans="1:7" s="646" customFormat="1" ht="22.5" customHeight="1">
      <c r="A91" s="699"/>
      <c r="B91" s="714" t="s">
        <v>1261</v>
      </c>
      <c r="C91" s="714"/>
      <c r="D91" s="1801" t="s">
        <v>1262</v>
      </c>
      <c r="E91" s="715">
        <f>SUM(E92,E94)</f>
        <v>125000</v>
      </c>
      <c r="F91" s="715">
        <f>SUM(F92,F94)</f>
        <v>125000</v>
      </c>
      <c r="G91" s="662">
        <f>F91/E91*100</f>
        <v>100</v>
      </c>
    </row>
    <row r="92" spans="1:7" s="646" customFormat="1" ht="72" customHeight="1">
      <c r="A92" s="699"/>
      <c r="B92" s="1844"/>
      <c r="C92" s="658" t="s">
        <v>475</v>
      </c>
      <c r="D92" s="732" t="s">
        <v>776</v>
      </c>
      <c r="E92" s="733">
        <v>125000</v>
      </c>
      <c r="F92" s="733">
        <v>125000</v>
      </c>
      <c r="G92" s="662">
        <f>F92/E92*100</f>
        <v>100</v>
      </c>
    </row>
    <row r="93" spans="1:7" s="650" customFormat="1" ht="21.75" customHeight="1">
      <c r="A93" s="694"/>
      <c r="B93" s="695" t="s">
        <v>783</v>
      </c>
      <c r="C93" s="695"/>
      <c r="D93" s="703" t="s">
        <v>784</v>
      </c>
      <c r="E93" s="698">
        <f>SUM(E94,E96)</f>
        <v>0</v>
      </c>
      <c r="F93" s="698">
        <f>SUM(F94,F96)</f>
        <v>114157.14</v>
      </c>
      <c r="G93" s="641" t="s">
        <v>1195</v>
      </c>
    </row>
    <row r="94" spans="1:7" s="654" customFormat="1" ht="67.5" customHeight="1" hidden="1">
      <c r="A94" s="722"/>
      <c r="B94" s="723"/>
      <c r="C94" s="680" t="s">
        <v>345</v>
      </c>
      <c r="D94" s="692" t="s">
        <v>347</v>
      </c>
      <c r="E94" s="682">
        <f>6DOCHODY!E412</f>
        <v>0</v>
      </c>
      <c r="F94" s="682">
        <f>6DOCHODY!F412</f>
        <v>0</v>
      </c>
      <c r="G94" s="641" t="s">
        <v>1195</v>
      </c>
    </row>
    <row r="95" spans="1:7" s="654" customFormat="1" ht="27" customHeight="1" hidden="1">
      <c r="A95" s="679"/>
      <c r="B95" s="680"/>
      <c r="C95" s="681"/>
      <c r="D95" s="639" t="s">
        <v>111</v>
      </c>
      <c r="E95" s="682"/>
      <c r="F95" s="682"/>
      <c r="G95" s="641"/>
    </row>
    <row r="96" spans="1:7" s="650" customFormat="1" ht="72" customHeight="1">
      <c r="A96" s="679"/>
      <c r="B96" s="680"/>
      <c r="C96" s="681" t="s">
        <v>345</v>
      </c>
      <c r="D96" s="692" t="s">
        <v>347</v>
      </c>
      <c r="E96" s="682">
        <f>6DOCHODY!E414</f>
        <v>0</v>
      </c>
      <c r="F96" s="682">
        <f>6DOCHODY!F414</f>
        <v>114157.14</v>
      </c>
      <c r="G96" s="641" t="s">
        <v>1195</v>
      </c>
    </row>
    <row r="97" spans="1:7" s="650" customFormat="1" ht="33.75" customHeight="1">
      <c r="A97" s="679"/>
      <c r="B97" s="680"/>
      <c r="C97" s="681"/>
      <c r="D97" s="639" t="s">
        <v>111</v>
      </c>
      <c r="E97" s="682"/>
      <c r="F97" s="682"/>
      <c r="G97" s="641"/>
    </row>
    <row r="98" spans="1:7" ht="21.75" customHeight="1" hidden="1">
      <c r="A98" s="414"/>
      <c r="B98" s="415" t="s">
        <v>1265</v>
      </c>
      <c r="C98" s="415"/>
      <c r="D98" s="423" t="s">
        <v>215</v>
      </c>
      <c r="E98" s="418">
        <f>SUM(E99)</f>
        <v>0</v>
      </c>
      <c r="F98" s="418">
        <f>SUM(F99)</f>
        <v>0</v>
      </c>
      <c r="G98" s="385" t="e">
        <f>F98/E98*100</f>
        <v>#DIV/0!</v>
      </c>
    </row>
    <row r="99" spans="1:7" s="397" customFormat="1" ht="66" customHeight="1" hidden="1">
      <c r="A99" s="406"/>
      <c r="B99" s="407"/>
      <c r="C99" s="407" t="s">
        <v>474</v>
      </c>
      <c r="D99" s="383" t="s">
        <v>959</v>
      </c>
      <c r="E99" s="409">
        <f>6DOCHODY!E421</f>
        <v>0</v>
      </c>
      <c r="F99" s="409">
        <f>6DOCHODY!F421</f>
        <v>0</v>
      </c>
      <c r="G99" s="385" t="e">
        <f>F99/E99*100</f>
        <v>#DIV/0!</v>
      </c>
    </row>
    <row r="100" spans="1:7" ht="21" customHeight="1" hidden="1">
      <c r="A100" s="419" t="s">
        <v>119</v>
      </c>
      <c r="B100" s="420"/>
      <c r="C100" s="443"/>
      <c r="D100" s="431" t="s">
        <v>109</v>
      </c>
      <c r="E100" s="401">
        <f>SUM(E101)</f>
        <v>0</v>
      </c>
      <c r="F100" s="401">
        <f>SUM(F101)</f>
        <v>0</v>
      </c>
      <c r="G100" s="376" t="e">
        <f>F100/E100*100</f>
        <v>#DIV/0!</v>
      </c>
    </row>
    <row r="101" spans="1:7" s="397" customFormat="1" ht="18" customHeight="1" hidden="1">
      <c r="A101" s="414"/>
      <c r="B101" s="415" t="s">
        <v>122</v>
      </c>
      <c r="C101" s="430"/>
      <c r="D101" s="417" t="s">
        <v>123</v>
      </c>
      <c r="E101" s="418">
        <f>SUM(E102)</f>
        <v>0</v>
      </c>
      <c r="F101" s="418">
        <f>SUM(F102)</f>
        <v>0</v>
      </c>
      <c r="G101" s="380" t="e">
        <f>F101/E101*100</f>
        <v>#DIV/0!</v>
      </c>
    </row>
    <row r="102" spans="1:7" ht="54.75" customHeight="1" hidden="1">
      <c r="A102" s="406"/>
      <c r="B102" s="407"/>
      <c r="C102" s="408" t="s">
        <v>424</v>
      </c>
      <c r="D102" s="398" t="s">
        <v>807</v>
      </c>
      <c r="E102" s="409"/>
      <c r="F102" s="409"/>
      <c r="G102" s="385" t="e">
        <f>F102/E102*100</f>
        <v>#DIV/0!</v>
      </c>
    </row>
    <row r="103" spans="1:7" ht="81" customHeight="1" hidden="1">
      <c r="A103" s="406"/>
      <c r="B103" s="407"/>
      <c r="C103" s="408"/>
      <c r="D103" s="383" t="s">
        <v>808</v>
      </c>
      <c r="E103" s="409"/>
      <c r="F103" s="409"/>
      <c r="G103" s="385"/>
    </row>
    <row r="104" spans="1:7" ht="21.75" customHeight="1" hidden="1">
      <c r="A104" s="414"/>
      <c r="B104" s="441" t="s">
        <v>476</v>
      </c>
      <c r="C104" s="448"/>
      <c r="D104" s="449" t="s">
        <v>215</v>
      </c>
      <c r="E104" s="402">
        <f>SUM(E105)</f>
        <v>0</v>
      </c>
      <c r="F104" s="402">
        <f>SUM(F105)</f>
        <v>0</v>
      </c>
      <c r="G104" s="366" t="e">
        <f aca="true" t="shared" si="2" ref="G104:G110">F104/E104*100</f>
        <v>#DIV/0!</v>
      </c>
    </row>
    <row r="105" spans="1:7" ht="44.25" customHeight="1" hidden="1">
      <c r="A105" s="445"/>
      <c r="B105" s="450"/>
      <c r="C105" s="451" t="s">
        <v>477</v>
      </c>
      <c r="D105" s="455" t="s">
        <v>1244</v>
      </c>
      <c r="E105" s="453">
        <v>0</v>
      </c>
      <c r="F105" s="453"/>
      <c r="G105" s="454" t="e">
        <f t="shared" si="2"/>
        <v>#DIV/0!</v>
      </c>
    </row>
    <row r="106" spans="1:7" s="764" customFormat="1" ht="19.5" customHeight="1">
      <c r="A106" s="2000" t="s">
        <v>1655</v>
      </c>
      <c r="B106" s="2001"/>
      <c r="C106" s="2001"/>
      <c r="D106" s="2002"/>
      <c r="E106" s="105">
        <f>SUM(E107,E116,E119,E126,E129,E135)</f>
        <v>2519589</v>
      </c>
      <c r="F106" s="105">
        <f>SUM(F107,F116,F119,F126,F129,F135)</f>
        <v>2725073.14</v>
      </c>
      <c r="G106" s="803">
        <f t="shared" si="2"/>
        <v>108.15546265680634</v>
      </c>
    </row>
    <row r="107" spans="1:7" s="765" customFormat="1" ht="16.5" customHeight="1">
      <c r="A107" s="624" t="s">
        <v>310</v>
      </c>
      <c r="B107" s="643"/>
      <c r="C107" s="643"/>
      <c r="D107" s="670" t="s">
        <v>311</v>
      </c>
      <c r="E107" s="627">
        <f>SUM(E108)</f>
        <v>1593232</v>
      </c>
      <c r="F107" s="627">
        <f>SUM(F108)</f>
        <v>1791273.1800000002</v>
      </c>
      <c r="G107" s="628">
        <f t="shared" si="2"/>
        <v>112.43015329845247</v>
      </c>
    </row>
    <row r="108" spans="1:7" s="767" customFormat="1" ht="39.75" customHeight="1">
      <c r="A108" s="630"/>
      <c r="B108" s="647" t="s">
        <v>312</v>
      </c>
      <c r="C108" s="647"/>
      <c r="D108" s="632" t="s">
        <v>555</v>
      </c>
      <c r="E108" s="633">
        <f>SUM(E109,E110,E112,E113,E115)</f>
        <v>1593232</v>
      </c>
      <c r="F108" s="633">
        <f>SUM(F109,F110,F112,F113,F115)</f>
        <v>1791273.1800000002</v>
      </c>
      <c r="G108" s="634">
        <f t="shared" si="2"/>
        <v>112.43015329845247</v>
      </c>
    </row>
    <row r="109" spans="1:7" s="693" customFormat="1" ht="27.75" customHeight="1">
      <c r="A109" s="636"/>
      <c r="B109" s="651"/>
      <c r="C109" s="651" t="s">
        <v>972</v>
      </c>
      <c r="D109" s="655" t="s">
        <v>971</v>
      </c>
      <c r="E109" s="653">
        <f>6DOCHODY!E455</f>
        <v>4000</v>
      </c>
      <c r="F109" s="653">
        <f>6DOCHODY!F455</f>
        <v>8770</v>
      </c>
      <c r="G109" s="676">
        <f t="shared" si="2"/>
        <v>219.25</v>
      </c>
    </row>
    <row r="110" spans="1:7" s="693" customFormat="1" ht="41.25" customHeight="1">
      <c r="A110" s="636"/>
      <c r="B110" s="651"/>
      <c r="C110" s="651" t="s">
        <v>345</v>
      </c>
      <c r="D110" s="692" t="s">
        <v>347</v>
      </c>
      <c r="E110" s="653">
        <f>6DOCHODY!E459</f>
        <v>1460207</v>
      </c>
      <c r="F110" s="653">
        <f>6DOCHODY!F459</f>
        <v>1460207.1</v>
      </c>
      <c r="G110" s="676">
        <f t="shared" si="2"/>
        <v>100.00000684834411</v>
      </c>
    </row>
    <row r="111" spans="1:7" s="693" customFormat="1" ht="26.25" customHeight="1">
      <c r="A111" s="636"/>
      <c r="B111" s="651"/>
      <c r="C111" s="651"/>
      <c r="D111" s="639" t="s">
        <v>111</v>
      </c>
      <c r="E111" s="653"/>
      <c r="F111" s="653"/>
      <c r="G111" s="676"/>
    </row>
    <row r="112" spans="1:7" s="767" customFormat="1" ht="59.25" customHeight="1">
      <c r="A112" s="636"/>
      <c r="B112" s="637"/>
      <c r="C112" s="651" t="s">
        <v>570</v>
      </c>
      <c r="D112" s="655" t="s">
        <v>807</v>
      </c>
      <c r="E112" s="640">
        <f>6DOCHODY!E461</f>
        <v>0</v>
      </c>
      <c r="F112" s="640">
        <f>6DOCHODY!F461</f>
        <v>194721.54</v>
      </c>
      <c r="G112" s="641" t="s">
        <v>1195</v>
      </c>
    </row>
    <row r="113" spans="1:7" s="804" customFormat="1" ht="57" customHeight="1" hidden="1">
      <c r="A113" s="788"/>
      <c r="B113" s="678"/>
      <c r="C113" s="651" t="s">
        <v>424</v>
      </c>
      <c r="D113" s="655" t="s">
        <v>807</v>
      </c>
      <c r="E113" s="666">
        <f>6DOCHODY!E462</f>
        <v>0</v>
      </c>
      <c r="F113" s="666">
        <f>6DOCHODY!F462</f>
        <v>0</v>
      </c>
      <c r="G113" s="676" t="s">
        <v>1195</v>
      </c>
    </row>
    <row r="114" spans="1:7" s="804" customFormat="1" ht="80.25" customHeight="1" hidden="1">
      <c r="A114" s="788"/>
      <c r="B114" s="678"/>
      <c r="C114" s="651"/>
      <c r="D114" s="639" t="s">
        <v>808</v>
      </c>
      <c r="E114" s="666"/>
      <c r="F114" s="666"/>
      <c r="G114" s="676"/>
    </row>
    <row r="115" spans="1:7" s="693" customFormat="1" ht="40.5" customHeight="1">
      <c r="A115" s="636"/>
      <c r="B115" s="677"/>
      <c r="C115" s="651" t="s">
        <v>105</v>
      </c>
      <c r="D115" s="655" t="s">
        <v>113</v>
      </c>
      <c r="E115" s="640">
        <f>6DOCHODY!E466</f>
        <v>129025</v>
      </c>
      <c r="F115" s="640">
        <f>6DOCHODY!F466</f>
        <v>127574.54</v>
      </c>
      <c r="G115" s="641">
        <f>F115/E115*100</f>
        <v>98.87583026545242</v>
      </c>
    </row>
    <row r="116" spans="1:7" s="767" customFormat="1" ht="21" customHeight="1">
      <c r="A116" s="624" t="s">
        <v>317</v>
      </c>
      <c r="B116" s="769"/>
      <c r="C116" s="643"/>
      <c r="D116" s="644" t="s">
        <v>257</v>
      </c>
      <c r="E116" s="645">
        <f>SUM(E117)</f>
        <v>1600</v>
      </c>
      <c r="F116" s="645">
        <f>SUM(F117)</f>
        <v>1520.28</v>
      </c>
      <c r="G116" s="628">
        <f aca="true" t="shared" si="3" ref="G116:G130">F116/E116*100</f>
        <v>95.0175</v>
      </c>
    </row>
    <row r="117" spans="1:7" s="767" customFormat="1" ht="19.5" customHeight="1">
      <c r="A117" s="636"/>
      <c r="B117" s="678" t="s">
        <v>258</v>
      </c>
      <c r="C117" s="678"/>
      <c r="D117" s="770" t="s">
        <v>259</v>
      </c>
      <c r="E117" s="649">
        <f>SUM(E118)</f>
        <v>1600</v>
      </c>
      <c r="F117" s="649">
        <f>SUM(F118)</f>
        <v>1520.28</v>
      </c>
      <c r="G117" s="634">
        <f t="shared" si="3"/>
        <v>95.0175</v>
      </c>
    </row>
    <row r="118" spans="1:7" s="693" customFormat="1" ht="53.25" customHeight="1">
      <c r="A118" s="636"/>
      <c r="B118" s="637"/>
      <c r="C118" s="638">
        <v>6410</v>
      </c>
      <c r="D118" s="639" t="s">
        <v>428</v>
      </c>
      <c r="E118" s="689">
        <f>6DOCHODY!E470</f>
        <v>1600</v>
      </c>
      <c r="F118" s="689">
        <f>6DOCHODY!F470</f>
        <v>1520.28</v>
      </c>
      <c r="G118" s="641">
        <f t="shared" si="3"/>
        <v>95.0175</v>
      </c>
    </row>
    <row r="119" spans="1:7" s="767" customFormat="1" ht="19.5" customHeight="1" hidden="1">
      <c r="A119" s="624" t="s">
        <v>260</v>
      </c>
      <c r="B119" s="643"/>
      <c r="C119" s="771"/>
      <c r="D119" s="644" t="s">
        <v>261</v>
      </c>
      <c r="E119" s="645">
        <f>SUM(E120,E122,E124)</f>
        <v>0</v>
      </c>
      <c r="F119" s="645">
        <f>SUM(F120,F122,F124)</f>
        <v>0</v>
      </c>
      <c r="G119" s="628" t="s">
        <v>1195</v>
      </c>
    </row>
    <row r="120" spans="1:7" s="767" customFormat="1" ht="19.5" customHeight="1" hidden="1">
      <c r="A120" s="630"/>
      <c r="B120" s="647" t="s">
        <v>263</v>
      </c>
      <c r="C120" s="647"/>
      <c r="D120" s="632" t="s">
        <v>264</v>
      </c>
      <c r="E120" s="649">
        <f>SUM(E121)</f>
        <v>0</v>
      </c>
      <c r="F120" s="649">
        <f>SUM(F121)</f>
        <v>0</v>
      </c>
      <c r="G120" s="634" t="e">
        <f t="shared" si="3"/>
        <v>#DIV/0!</v>
      </c>
    </row>
    <row r="121" spans="1:7" s="693" customFormat="1" ht="67.5" customHeight="1" hidden="1">
      <c r="A121" s="636"/>
      <c r="B121" s="651"/>
      <c r="C121" s="651" t="s">
        <v>474</v>
      </c>
      <c r="D121" s="655" t="s">
        <v>959</v>
      </c>
      <c r="E121" s="653">
        <f>6DOCHODY!E480</f>
        <v>0</v>
      </c>
      <c r="F121" s="653">
        <f>6DOCHODY!F480</f>
        <v>0</v>
      </c>
      <c r="G121" s="676" t="e">
        <f t="shared" si="3"/>
        <v>#DIV/0!</v>
      </c>
    </row>
    <row r="122" spans="1:7" s="693" customFormat="1" ht="23.25" customHeight="1" hidden="1">
      <c r="A122" s="636"/>
      <c r="B122" s="647" t="s">
        <v>265</v>
      </c>
      <c r="C122" s="647"/>
      <c r="D122" s="648" t="s">
        <v>255</v>
      </c>
      <c r="E122" s="653">
        <f>SUM(E123)</f>
        <v>0</v>
      </c>
      <c r="F122" s="653">
        <f>SUM(F123)</f>
        <v>0</v>
      </c>
      <c r="G122" s="676" t="s">
        <v>1195</v>
      </c>
    </row>
    <row r="123" spans="1:7" s="693" customFormat="1" ht="67.5" customHeight="1" hidden="1">
      <c r="A123" s="636"/>
      <c r="B123" s="651"/>
      <c r="C123" s="651" t="s">
        <v>961</v>
      </c>
      <c r="D123" s="655" t="s">
        <v>428</v>
      </c>
      <c r="E123" s="653">
        <f>6DOCHODY!E483</f>
        <v>0</v>
      </c>
      <c r="F123" s="653">
        <f>6DOCHODY!F483</f>
        <v>0</v>
      </c>
      <c r="G123" s="676" t="s">
        <v>1195</v>
      </c>
    </row>
    <row r="124" spans="1:7" s="693" customFormat="1" ht="23.25" customHeight="1" hidden="1">
      <c r="A124" s="636"/>
      <c r="B124" s="647" t="s">
        <v>960</v>
      </c>
      <c r="C124" s="647"/>
      <c r="D124" s="648" t="s">
        <v>215</v>
      </c>
      <c r="E124" s="649">
        <f>SUM(E125)</f>
        <v>0</v>
      </c>
      <c r="F124" s="649">
        <f>SUM(F125)</f>
        <v>0</v>
      </c>
      <c r="G124" s="665" t="e">
        <f t="shared" si="3"/>
        <v>#DIV/0!</v>
      </c>
    </row>
    <row r="125" spans="1:7" s="693" customFormat="1" ht="58.5" customHeight="1" hidden="1">
      <c r="A125" s="630"/>
      <c r="B125" s="651"/>
      <c r="C125" s="651" t="s">
        <v>961</v>
      </c>
      <c r="D125" s="655" t="s">
        <v>428</v>
      </c>
      <c r="E125" s="653">
        <f>6DOCHODY!E485</f>
        <v>0</v>
      </c>
      <c r="F125" s="653">
        <f>6DOCHODY!F485</f>
        <v>0</v>
      </c>
      <c r="G125" s="676" t="e">
        <f t="shared" si="3"/>
        <v>#DIV/0!</v>
      </c>
    </row>
    <row r="126" spans="1:7" s="767" customFormat="1" ht="29.25" customHeight="1" hidden="1">
      <c r="A126" s="624" t="s">
        <v>5</v>
      </c>
      <c r="B126" s="643"/>
      <c r="C126" s="771"/>
      <c r="D126" s="670" t="s">
        <v>86</v>
      </c>
      <c r="E126" s="645">
        <f>SUM(E127)</f>
        <v>0</v>
      </c>
      <c r="F126" s="645">
        <f>SUM(F127)</f>
        <v>0</v>
      </c>
      <c r="G126" s="628" t="s">
        <v>1195</v>
      </c>
    </row>
    <row r="127" spans="1:7" s="767" customFormat="1" ht="19.5" customHeight="1" hidden="1">
      <c r="A127" s="630"/>
      <c r="B127" s="647" t="s">
        <v>6</v>
      </c>
      <c r="C127" s="771"/>
      <c r="D127" s="632" t="s">
        <v>385</v>
      </c>
      <c r="E127" s="649">
        <f>SUM(E128)</f>
        <v>0</v>
      </c>
      <c r="F127" s="649">
        <f>SUM(F128)</f>
        <v>0</v>
      </c>
      <c r="G127" s="634" t="e">
        <f t="shared" si="3"/>
        <v>#DIV/0!</v>
      </c>
    </row>
    <row r="128" spans="1:7" s="693" customFormat="1" ht="54.75" customHeight="1" hidden="1">
      <c r="A128" s="636"/>
      <c r="B128" s="637"/>
      <c r="C128" s="775">
        <v>6410</v>
      </c>
      <c r="D128" s="655" t="s">
        <v>428</v>
      </c>
      <c r="E128" s="689">
        <f>6DOCHODY!E501</f>
        <v>0</v>
      </c>
      <c r="F128" s="689">
        <f>6DOCHODY!F501</f>
        <v>0</v>
      </c>
      <c r="G128" s="641" t="s">
        <v>1195</v>
      </c>
    </row>
    <row r="129" spans="1:7" s="693" customFormat="1" ht="19.5" customHeight="1">
      <c r="A129" s="624" t="s">
        <v>12</v>
      </c>
      <c r="B129" s="643"/>
      <c r="C129" s="771"/>
      <c r="D129" s="644" t="s">
        <v>13</v>
      </c>
      <c r="E129" s="645">
        <f>SUM(E130,E133)</f>
        <v>918633</v>
      </c>
      <c r="F129" s="645">
        <f>SUM(F130,F133)</f>
        <v>932279.68</v>
      </c>
      <c r="G129" s="1823">
        <f t="shared" si="3"/>
        <v>101.4855421044095</v>
      </c>
    </row>
    <row r="130" spans="1:7" s="693" customFormat="1" ht="19.5" customHeight="1">
      <c r="A130" s="624"/>
      <c r="B130" s="684" t="s">
        <v>18</v>
      </c>
      <c r="C130" s="1820"/>
      <c r="D130" s="1821" t="s">
        <v>325</v>
      </c>
      <c r="E130" s="1822">
        <f>SUM(E131)</f>
        <v>918633</v>
      </c>
      <c r="F130" s="1822">
        <f>SUM(F131)</f>
        <v>924679.68</v>
      </c>
      <c r="G130" s="641">
        <f t="shared" si="3"/>
        <v>100.65822586386513</v>
      </c>
    </row>
    <row r="131" spans="1:7" s="693" customFormat="1" ht="54.75" customHeight="1">
      <c r="A131" s="636"/>
      <c r="B131" s="637"/>
      <c r="C131" s="731" t="s">
        <v>424</v>
      </c>
      <c r="D131" s="685" t="s">
        <v>807</v>
      </c>
      <c r="E131" s="784">
        <f>6DOCHODY!E530</f>
        <v>918633</v>
      </c>
      <c r="F131" s="784">
        <f>6DOCHODY!F530</f>
        <v>924679.68</v>
      </c>
      <c r="G131" s="662">
        <f>F131/E131*100</f>
        <v>100.65822586386513</v>
      </c>
    </row>
    <row r="132" spans="1:7" s="693" customFormat="1" ht="54.75" customHeight="1">
      <c r="A132" s="636"/>
      <c r="B132" s="637"/>
      <c r="C132" s="731"/>
      <c r="D132" s="659" t="s">
        <v>808</v>
      </c>
      <c r="E132" s="733"/>
      <c r="F132" s="733"/>
      <c r="G132" s="662"/>
    </row>
    <row r="133" spans="1:7" s="693" customFormat="1" ht="21.75" customHeight="1">
      <c r="A133" s="636"/>
      <c r="B133" s="684" t="s">
        <v>19</v>
      </c>
      <c r="C133" s="1820"/>
      <c r="D133" s="1821" t="s">
        <v>20</v>
      </c>
      <c r="E133" s="1822">
        <f>SUM(E134)</f>
        <v>0</v>
      </c>
      <c r="F133" s="1822">
        <f>SUM(F134)</f>
        <v>7600</v>
      </c>
      <c r="G133" s="1773" t="s">
        <v>1195</v>
      </c>
    </row>
    <row r="134" spans="1:7" s="693" customFormat="1" ht="30.75" customHeight="1">
      <c r="A134" s="636"/>
      <c r="B134" s="637"/>
      <c r="C134" s="731" t="s">
        <v>972</v>
      </c>
      <c r="D134" s="659" t="s">
        <v>971</v>
      </c>
      <c r="E134" s="745">
        <v>0</v>
      </c>
      <c r="F134" s="745">
        <v>7600</v>
      </c>
      <c r="G134" s="662" t="s">
        <v>1195</v>
      </c>
    </row>
    <row r="135" spans="1:7" s="693" customFormat="1" ht="33.75" customHeight="1">
      <c r="A135" s="624" t="s">
        <v>25</v>
      </c>
      <c r="B135" s="643"/>
      <c r="C135" s="771"/>
      <c r="D135" s="670" t="s">
        <v>1095</v>
      </c>
      <c r="E135" s="645">
        <f>SUM(E136)</f>
        <v>6124</v>
      </c>
      <c r="F135" s="645">
        <f>SUM(F136)</f>
        <v>0</v>
      </c>
      <c r="G135" s="628">
        <f>F135/E135*100</f>
        <v>0</v>
      </c>
    </row>
    <row r="136" spans="1:7" s="693" customFormat="1" ht="30" customHeight="1">
      <c r="A136" s="630"/>
      <c r="B136" s="647" t="s">
        <v>1099</v>
      </c>
      <c r="C136" s="771"/>
      <c r="D136" s="632" t="s">
        <v>215</v>
      </c>
      <c r="E136" s="649">
        <f>SUM(E137)</f>
        <v>6124</v>
      </c>
      <c r="F136" s="649">
        <f>SUM(F137)</f>
        <v>0</v>
      </c>
      <c r="G136" s="634">
        <f>F136/E136*100</f>
        <v>0</v>
      </c>
    </row>
    <row r="137" spans="1:7" s="693" customFormat="1" ht="60" customHeight="1">
      <c r="A137" s="636"/>
      <c r="B137" s="637"/>
      <c r="C137" s="775">
        <v>6207</v>
      </c>
      <c r="D137" s="655" t="s">
        <v>428</v>
      </c>
      <c r="E137" s="689">
        <v>6124</v>
      </c>
      <c r="F137" s="689">
        <v>0</v>
      </c>
      <c r="G137" s="641">
        <f>F137/E137*100</f>
        <v>0</v>
      </c>
    </row>
    <row r="138" spans="1:7" s="693" customFormat="1" ht="33" customHeight="1" thickBot="1">
      <c r="A138" s="790"/>
      <c r="B138" s="791"/>
      <c r="C138" s="1845"/>
      <c r="D138" s="639" t="s">
        <v>111</v>
      </c>
      <c r="E138" s="794"/>
      <c r="F138" s="794"/>
      <c r="G138" s="1846"/>
    </row>
    <row r="139" spans="1:7" s="797" customFormat="1" ht="21" customHeight="1" thickBot="1">
      <c r="A139" s="1992" t="s">
        <v>1656</v>
      </c>
      <c r="B139" s="1993"/>
      <c r="C139" s="1993"/>
      <c r="D139" s="1994"/>
      <c r="E139" s="795">
        <f>SUM(E7,E106)</f>
        <v>35633630</v>
      </c>
      <c r="F139" s="795">
        <f>SUM(F7,F106)</f>
        <v>33508753.400000002</v>
      </c>
      <c r="G139" s="796">
        <f>F139/E139*100</f>
        <v>94.0368786452573</v>
      </c>
    </row>
    <row r="140" spans="1:7" s="650" customFormat="1" ht="19.5" customHeight="1" hidden="1">
      <c r="A140" s="738"/>
      <c r="B140" s="738"/>
      <c r="C140" s="738"/>
      <c r="D140" s="805" t="s">
        <v>754</v>
      </c>
      <c r="E140" s="583">
        <v>39653747</v>
      </c>
      <c r="F140" s="583">
        <v>31019466.31</v>
      </c>
      <c r="G140" s="806"/>
    </row>
    <row r="141" spans="1:7" s="650" customFormat="1" ht="19.5" customHeight="1" hidden="1">
      <c r="A141" s="738"/>
      <c r="B141" s="738"/>
      <c r="C141" s="738"/>
      <c r="D141" s="805" t="s">
        <v>1736</v>
      </c>
      <c r="E141" s="807">
        <f>E140-E139</f>
        <v>4020117</v>
      </c>
      <c r="F141" s="807">
        <f>F140-F139</f>
        <v>-2489287.0900000036</v>
      </c>
      <c r="G141" s="806"/>
    </row>
    <row r="142" spans="1:7" s="397" customFormat="1" ht="19.5" customHeight="1">
      <c r="A142" s="461"/>
      <c r="B142" s="461"/>
      <c r="C142" s="461"/>
      <c r="D142" s="462"/>
      <c r="E142" s="440"/>
      <c r="F142" s="463"/>
      <c r="G142" s="464"/>
    </row>
    <row r="143" spans="1:7" s="397" customFormat="1" ht="19.5" customHeight="1">
      <c r="A143" s="461"/>
      <c r="B143" s="461"/>
      <c r="C143" s="461"/>
      <c r="D143" s="462"/>
      <c r="E143" s="440"/>
      <c r="F143" s="440"/>
      <c r="G143" s="464"/>
    </row>
    <row r="144" spans="1:6" ht="19.5" customHeight="1">
      <c r="A144" s="439"/>
      <c r="B144" s="439"/>
      <c r="C144" s="439"/>
      <c r="D144" s="465"/>
      <c r="E144" s="466"/>
      <c r="F144" s="467"/>
    </row>
    <row r="145" spans="1:6" ht="19.5" customHeight="1">
      <c r="A145" s="439"/>
      <c r="B145" s="439"/>
      <c r="C145" s="439"/>
      <c r="D145" s="465"/>
      <c r="E145" s="466"/>
      <c r="F145" s="467"/>
    </row>
    <row r="146" spans="1:6" ht="19.5" customHeight="1">
      <c r="A146" s="439"/>
      <c r="B146" s="439"/>
      <c r="C146" s="439"/>
      <c r="D146" s="465"/>
      <c r="E146" s="466"/>
      <c r="F146" s="467"/>
    </row>
    <row r="147" spans="1:6" ht="19.5" customHeight="1">
      <c r="A147" s="439"/>
      <c r="B147" s="439"/>
      <c r="C147" s="439"/>
      <c r="D147" s="465"/>
      <c r="E147" s="466"/>
      <c r="F147" s="467"/>
    </row>
    <row r="148" spans="1:6" ht="19.5" customHeight="1">
      <c r="A148" s="439"/>
      <c r="B148" s="439"/>
      <c r="C148" s="439"/>
      <c r="D148" s="465"/>
      <c r="E148" s="466"/>
      <c r="F148" s="467"/>
    </row>
    <row r="149" spans="1:6" ht="19.5" customHeight="1">
      <c r="A149" s="439"/>
      <c r="B149" s="439"/>
      <c r="C149" s="439"/>
      <c r="D149" s="465"/>
      <c r="E149" s="466"/>
      <c r="F149" s="467"/>
    </row>
    <row r="150" spans="1:6" ht="19.5" customHeight="1">
      <c r="A150" s="439"/>
      <c r="B150" s="439"/>
      <c r="C150" s="439"/>
      <c r="D150" s="465"/>
      <c r="E150" s="466"/>
      <c r="F150" s="467"/>
    </row>
    <row r="151" spans="1:6" ht="19.5" customHeight="1">
      <c r="A151" s="439"/>
      <c r="B151" s="439"/>
      <c r="C151" s="439"/>
      <c r="D151" s="465"/>
      <c r="E151" s="466"/>
      <c r="F151" s="467"/>
    </row>
    <row r="152" spans="1:6" ht="19.5" customHeight="1">
      <c r="A152" s="439"/>
      <c r="B152" s="439"/>
      <c r="C152" s="439"/>
      <c r="D152" s="465"/>
      <c r="E152" s="466"/>
      <c r="F152" s="467"/>
    </row>
    <row r="153" spans="1:6" ht="19.5" customHeight="1">
      <c r="A153" s="439"/>
      <c r="B153" s="439"/>
      <c r="C153" s="439"/>
      <c r="D153" s="465"/>
      <c r="E153" s="466"/>
      <c r="F153" s="467"/>
    </row>
    <row r="154" spans="1:6" ht="19.5" customHeight="1">
      <c r="A154" s="439"/>
      <c r="B154" s="439"/>
      <c r="C154" s="439"/>
      <c r="D154" s="465"/>
      <c r="E154" s="466"/>
      <c r="F154" s="467"/>
    </row>
    <row r="155" spans="1:6" ht="19.5" customHeight="1">
      <c r="A155" s="439"/>
      <c r="B155" s="439"/>
      <c r="C155" s="439"/>
      <c r="D155" s="465"/>
      <c r="E155" s="466"/>
      <c r="F155" s="467"/>
    </row>
    <row r="156" spans="1:6" ht="19.5" customHeight="1">
      <c r="A156" s="439"/>
      <c r="B156" s="439"/>
      <c r="C156" s="439"/>
      <c r="D156" s="465"/>
      <c r="E156" s="466"/>
      <c r="F156" s="467"/>
    </row>
    <row r="157" spans="1:6" ht="19.5" customHeight="1">
      <c r="A157" s="439"/>
      <c r="B157" s="439"/>
      <c r="C157" s="439"/>
      <c r="D157" s="465"/>
      <c r="E157" s="466"/>
      <c r="F157" s="467"/>
    </row>
    <row r="158" spans="1:6" ht="19.5" customHeight="1">
      <c r="A158" s="439"/>
      <c r="B158" s="439"/>
      <c r="C158" s="439"/>
      <c r="D158" s="465"/>
      <c r="E158" s="466"/>
      <c r="F158" s="467"/>
    </row>
    <row r="159" spans="1:6" ht="19.5" customHeight="1">
      <c r="A159" s="439"/>
      <c r="B159" s="439"/>
      <c r="C159" s="439"/>
      <c r="D159" s="465"/>
      <c r="E159" s="466"/>
      <c r="F159" s="467"/>
    </row>
    <row r="160" spans="1:6" ht="19.5" customHeight="1">
      <c r="A160" s="439"/>
      <c r="B160" s="439"/>
      <c r="C160" s="439"/>
      <c r="D160" s="465"/>
      <c r="E160" s="466"/>
      <c r="F160" s="467"/>
    </row>
    <row r="161" spans="1:6" ht="19.5" customHeight="1">
      <c r="A161" s="439"/>
      <c r="B161" s="439"/>
      <c r="C161" s="439"/>
      <c r="D161" s="465"/>
      <c r="E161" s="466"/>
      <c r="F161" s="467"/>
    </row>
    <row r="162" spans="1:6" ht="19.5" customHeight="1">
      <c r="A162" s="439"/>
      <c r="B162" s="439"/>
      <c r="C162" s="439"/>
      <c r="D162" s="465"/>
      <c r="E162" s="466"/>
      <c r="F162" s="467"/>
    </row>
    <row r="163" spans="1:6" ht="19.5" customHeight="1">
      <c r="A163" s="439"/>
      <c r="B163" s="439"/>
      <c r="C163" s="439"/>
      <c r="D163" s="465"/>
      <c r="E163" s="466"/>
      <c r="F163" s="467"/>
    </row>
    <row r="164" spans="1:6" ht="19.5" customHeight="1">
      <c r="A164" s="439"/>
      <c r="B164" s="439"/>
      <c r="C164" s="439"/>
      <c r="D164" s="465"/>
      <c r="E164" s="466"/>
      <c r="F164" s="467"/>
    </row>
    <row r="165" spans="1:6" ht="19.5" customHeight="1">
      <c r="A165" s="439"/>
      <c r="B165" s="439"/>
      <c r="C165" s="439"/>
      <c r="D165" s="465"/>
      <c r="E165" s="466"/>
      <c r="F165" s="467"/>
    </row>
    <row r="166" spans="1:6" ht="19.5" customHeight="1">
      <c r="A166" s="439"/>
      <c r="B166" s="439"/>
      <c r="C166" s="439"/>
      <c r="D166" s="465"/>
      <c r="E166" s="466"/>
      <c r="F166" s="467"/>
    </row>
    <row r="167" spans="1:6" ht="19.5" customHeight="1">
      <c r="A167" s="439"/>
      <c r="B167" s="439"/>
      <c r="C167" s="439"/>
      <c r="D167" s="465"/>
      <c r="E167" s="466"/>
      <c r="F167" s="467"/>
    </row>
    <row r="168" spans="1:6" ht="19.5" customHeight="1">
      <c r="A168" s="439"/>
      <c r="B168" s="439"/>
      <c r="C168" s="439"/>
      <c r="D168" s="465"/>
      <c r="E168" s="466"/>
      <c r="F168" s="467"/>
    </row>
    <row r="169" spans="1:6" ht="19.5" customHeight="1">
      <c r="A169" s="439"/>
      <c r="B169" s="439"/>
      <c r="C169" s="439"/>
      <c r="D169" s="465"/>
      <c r="E169" s="466"/>
      <c r="F169" s="467"/>
    </row>
    <row r="170" spans="1:6" ht="19.5" customHeight="1">
      <c r="A170" s="439"/>
      <c r="B170" s="439"/>
      <c r="C170" s="439"/>
      <c r="D170" s="465"/>
      <c r="E170" s="466"/>
      <c r="F170" s="467"/>
    </row>
    <row r="171" spans="1:6" ht="19.5" customHeight="1">
      <c r="A171" s="439"/>
      <c r="B171" s="439"/>
      <c r="C171" s="439"/>
      <c r="D171" s="465"/>
      <c r="E171" s="466"/>
      <c r="F171" s="467"/>
    </row>
    <row r="172" spans="1:6" ht="19.5" customHeight="1">
      <c r="A172" s="439"/>
      <c r="B172" s="439"/>
      <c r="C172" s="439"/>
      <c r="D172" s="465"/>
      <c r="E172" s="466"/>
      <c r="F172" s="467"/>
    </row>
    <row r="173" spans="1:6" ht="19.5" customHeight="1">
      <c r="A173" s="439"/>
      <c r="B173" s="439"/>
      <c r="C173" s="439"/>
      <c r="D173" s="465"/>
      <c r="E173" s="466"/>
      <c r="F173" s="467"/>
    </row>
    <row r="174" spans="1:6" ht="19.5" customHeight="1">
      <c r="A174" s="439"/>
      <c r="B174" s="439"/>
      <c r="C174" s="439"/>
      <c r="D174" s="465"/>
      <c r="E174" s="466"/>
      <c r="F174" s="467"/>
    </row>
    <row r="175" spans="1:6" ht="19.5" customHeight="1">
      <c r="A175" s="439"/>
      <c r="B175" s="439"/>
      <c r="C175" s="439"/>
      <c r="D175" s="465"/>
      <c r="E175" s="466"/>
      <c r="F175" s="467"/>
    </row>
    <row r="176" spans="1:6" ht="19.5" customHeight="1">
      <c r="A176" s="439"/>
      <c r="B176" s="439"/>
      <c r="C176" s="439"/>
      <c r="D176" s="465"/>
      <c r="E176" s="466"/>
      <c r="F176" s="467"/>
    </row>
    <row r="177" spans="1:6" ht="19.5" customHeight="1">
      <c r="A177" s="439"/>
      <c r="B177" s="439"/>
      <c r="C177" s="439"/>
      <c r="D177" s="465"/>
      <c r="E177" s="466"/>
      <c r="F177" s="467"/>
    </row>
    <row r="178" spans="1:6" ht="19.5" customHeight="1">
      <c r="A178" s="439"/>
      <c r="B178" s="439"/>
      <c r="C178" s="439"/>
      <c r="D178" s="465"/>
      <c r="E178" s="466"/>
      <c r="F178" s="467"/>
    </row>
    <row r="179" spans="1:6" ht="19.5" customHeight="1">
      <c r="A179" s="439"/>
      <c r="B179" s="439"/>
      <c r="C179" s="439"/>
      <c r="D179" s="465"/>
      <c r="E179" s="466"/>
      <c r="F179" s="467"/>
    </row>
    <row r="180" spans="1:6" ht="19.5" customHeight="1">
      <c r="A180" s="439"/>
      <c r="B180" s="439"/>
      <c r="C180" s="439"/>
      <c r="D180" s="465"/>
      <c r="E180" s="466"/>
      <c r="F180" s="467"/>
    </row>
    <row r="181" spans="1:6" ht="19.5" customHeight="1">
      <c r="A181" s="439"/>
      <c r="B181" s="439"/>
      <c r="C181" s="439"/>
      <c r="D181" s="465"/>
      <c r="E181" s="466"/>
      <c r="F181" s="467"/>
    </row>
    <row r="182" spans="1:6" ht="19.5" customHeight="1">
      <c r="A182" s="439"/>
      <c r="B182" s="439"/>
      <c r="C182" s="439"/>
      <c r="D182" s="465"/>
      <c r="E182" s="466"/>
      <c r="F182" s="467"/>
    </row>
    <row r="183" spans="1:6" ht="19.5" customHeight="1">
      <c r="A183" s="439"/>
      <c r="B183" s="439"/>
      <c r="C183" s="439"/>
      <c r="D183" s="465"/>
      <c r="E183" s="466"/>
      <c r="F183" s="467"/>
    </row>
    <row r="184" spans="1:6" ht="19.5" customHeight="1">
      <c r="A184" s="439"/>
      <c r="B184" s="439"/>
      <c r="C184" s="439"/>
      <c r="D184" s="465"/>
      <c r="E184" s="466"/>
      <c r="F184" s="467"/>
    </row>
    <row r="185" spans="1:6" ht="19.5" customHeight="1">
      <c r="A185" s="439"/>
      <c r="B185" s="439"/>
      <c r="C185" s="439"/>
      <c r="D185" s="465"/>
      <c r="E185" s="466"/>
      <c r="F185" s="467"/>
    </row>
    <row r="186" spans="1:6" ht="19.5" customHeight="1">
      <c r="A186" s="439"/>
      <c r="B186" s="439"/>
      <c r="C186" s="439"/>
      <c r="D186" s="465"/>
      <c r="E186" s="466"/>
      <c r="F186" s="467"/>
    </row>
    <row r="187" spans="1:6" ht="19.5" customHeight="1">
      <c r="A187" s="439"/>
      <c r="B187" s="439"/>
      <c r="C187" s="439"/>
      <c r="D187" s="465"/>
      <c r="E187" s="466"/>
      <c r="F187" s="467"/>
    </row>
    <row r="188" spans="1:6" ht="19.5" customHeight="1">
      <c r="A188" s="439"/>
      <c r="B188" s="439"/>
      <c r="C188" s="439"/>
      <c r="D188" s="465"/>
      <c r="E188" s="466"/>
      <c r="F188" s="467"/>
    </row>
    <row r="189" spans="1:6" ht="19.5" customHeight="1">
      <c r="A189" s="439"/>
      <c r="B189" s="439"/>
      <c r="C189" s="439"/>
      <c r="D189" s="465"/>
      <c r="E189" s="466"/>
      <c r="F189" s="467"/>
    </row>
    <row r="190" spans="1:6" ht="19.5" customHeight="1">
      <c r="A190" s="439"/>
      <c r="B190" s="439"/>
      <c r="C190" s="439"/>
      <c r="D190" s="465"/>
      <c r="E190" s="466"/>
      <c r="F190" s="467"/>
    </row>
    <row r="191" spans="1:6" ht="19.5" customHeight="1">
      <c r="A191" s="439"/>
      <c r="B191" s="439"/>
      <c r="C191" s="439"/>
      <c r="D191" s="465"/>
      <c r="E191" s="466"/>
      <c r="F191" s="467"/>
    </row>
    <row r="192" spans="1:6" ht="19.5" customHeight="1">
      <c r="A192" s="439"/>
      <c r="B192" s="439"/>
      <c r="C192" s="439"/>
      <c r="D192" s="465"/>
      <c r="E192" s="466"/>
      <c r="F192" s="467"/>
    </row>
    <row r="193" spans="1:6" ht="19.5" customHeight="1">
      <c r="A193" s="439"/>
      <c r="B193" s="439"/>
      <c r="C193" s="439"/>
      <c r="D193" s="465"/>
      <c r="E193" s="466"/>
      <c r="F193" s="467"/>
    </row>
    <row r="194" spans="1:6" ht="19.5" customHeight="1">
      <c r="A194" s="439"/>
      <c r="B194" s="439"/>
      <c r="C194" s="439"/>
      <c r="D194" s="465"/>
      <c r="E194" s="466"/>
      <c r="F194" s="467"/>
    </row>
    <row r="195" spans="1:6" ht="19.5" customHeight="1">
      <c r="A195" s="439"/>
      <c r="B195" s="439"/>
      <c r="C195" s="439"/>
      <c r="D195" s="465"/>
      <c r="E195" s="466"/>
      <c r="F195" s="467"/>
    </row>
    <row r="196" spans="1:6" ht="19.5" customHeight="1">
      <c r="A196" s="439"/>
      <c r="B196" s="439"/>
      <c r="C196" s="439"/>
      <c r="D196" s="465"/>
      <c r="E196" s="466"/>
      <c r="F196" s="467"/>
    </row>
    <row r="197" spans="1:6" ht="19.5" customHeight="1">
      <c r="A197" s="439"/>
      <c r="B197" s="439"/>
      <c r="C197" s="439"/>
      <c r="D197" s="465"/>
      <c r="E197" s="466"/>
      <c r="F197" s="467"/>
    </row>
    <row r="198" spans="1:6" ht="19.5" customHeight="1">
      <c r="A198" s="439"/>
      <c r="B198" s="439"/>
      <c r="C198" s="439"/>
      <c r="D198" s="465"/>
      <c r="E198" s="466"/>
      <c r="F198" s="467"/>
    </row>
    <row r="199" spans="1:6" ht="19.5" customHeight="1">
      <c r="A199" s="439"/>
      <c r="B199" s="439"/>
      <c r="C199" s="439"/>
      <c r="D199" s="465"/>
      <c r="E199" s="466"/>
      <c r="F199" s="467"/>
    </row>
    <row r="200" spans="1:6" ht="19.5" customHeight="1">
      <c r="A200" s="439"/>
      <c r="B200" s="439"/>
      <c r="C200" s="439"/>
      <c r="D200" s="465"/>
      <c r="E200" s="466"/>
      <c r="F200" s="467"/>
    </row>
    <row r="201" spans="1:6" ht="19.5" customHeight="1">
      <c r="A201" s="439"/>
      <c r="B201" s="439"/>
      <c r="C201" s="439"/>
      <c r="D201" s="465"/>
      <c r="E201" s="466"/>
      <c r="F201" s="467"/>
    </row>
    <row r="202" spans="1:6" ht="19.5" customHeight="1">
      <c r="A202" s="439"/>
      <c r="B202" s="439"/>
      <c r="C202" s="439"/>
      <c r="D202" s="465"/>
      <c r="E202" s="466"/>
      <c r="F202" s="467"/>
    </row>
    <row r="203" spans="1:6" ht="19.5" customHeight="1">
      <c r="A203" s="439"/>
      <c r="B203" s="439"/>
      <c r="C203" s="439"/>
      <c r="D203" s="465"/>
      <c r="E203" s="466"/>
      <c r="F203" s="467"/>
    </row>
    <row r="204" spans="1:6" ht="19.5" customHeight="1">
      <c r="A204" s="439"/>
      <c r="B204" s="439"/>
      <c r="C204" s="439"/>
      <c r="D204" s="465"/>
      <c r="E204" s="466"/>
      <c r="F204" s="467"/>
    </row>
    <row r="205" spans="1:6" ht="19.5" customHeight="1">
      <c r="A205" s="439"/>
      <c r="B205" s="439"/>
      <c r="C205" s="439"/>
      <c r="D205" s="465"/>
      <c r="E205" s="466"/>
      <c r="F205" s="467"/>
    </row>
    <row r="206" spans="1:6" ht="19.5" customHeight="1">
      <c r="A206" s="439"/>
      <c r="B206" s="439"/>
      <c r="C206" s="439"/>
      <c r="D206" s="465"/>
      <c r="E206" s="466"/>
      <c r="F206" s="467"/>
    </row>
    <row r="207" spans="1:6" ht="19.5" customHeight="1">
      <c r="A207" s="439"/>
      <c r="B207" s="439"/>
      <c r="C207" s="439"/>
      <c r="D207" s="465"/>
      <c r="E207" s="466"/>
      <c r="F207" s="467"/>
    </row>
    <row r="208" spans="1:6" ht="19.5" customHeight="1">
      <c r="A208" s="439"/>
      <c r="B208" s="439"/>
      <c r="C208" s="439"/>
      <c r="D208" s="465"/>
      <c r="E208" s="466"/>
      <c r="F208" s="467"/>
    </row>
    <row r="209" spans="1:6" ht="19.5" customHeight="1">
      <c r="A209" s="439"/>
      <c r="B209" s="439"/>
      <c r="C209" s="439"/>
      <c r="D209" s="465"/>
      <c r="E209" s="466"/>
      <c r="F209" s="467"/>
    </row>
    <row r="210" spans="1:6" ht="19.5" customHeight="1">
      <c r="A210" s="439"/>
      <c r="B210" s="439"/>
      <c r="C210" s="439"/>
      <c r="D210" s="465"/>
      <c r="E210" s="466"/>
      <c r="F210" s="467"/>
    </row>
    <row r="211" spans="1:6" ht="19.5" customHeight="1">
      <c r="A211" s="439"/>
      <c r="B211" s="439"/>
      <c r="C211" s="439"/>
      <c r="D211" s="465"/>
      <c r="E211" s="466"/>
      <c r="F211" s="467"/>
    </row>
    <row r="212" spans="1:6" ht="19.5" customHeight="1">
      <c r="A212" s="439"/>
      <c r="B212" s="439"/>
      <c r="C212" s="439"/>
      <c r="D212" s="465"/>
      <c r="E212" s="466"/>
      <c r="F212" s="467"/>
    </row>
    <row r="213" spans="1:6" ht="19.5" customHeight="1">
      <c r="A213" s="439"/>
      <c r="B213" s="439"/>
      <c r="C213" s="439"/>
      <c r="D213" s="465"/>
      <c r="E213" s="466"/>
      <c r="F213" s="467"/>
    </row>
    <row r="214" spans="1:6" ht="19.5" customHeight="1">
      <c r="A214" s="439"/>
      <c r="B214" s="439"/>
      <c r="C214" s="439"/>
      <c r="D214" s="465"/>
      <c r="E214" s="466"/>
      <c r="F214" s="467"/>
    </row>
    <row r="215" spans="1:6" ht="19.5" customHeight="1">
      <c r="A215" s="439"/>
      <c r="B215" s="439"/>
      <c r="C215" s="439"/>
      <c r="D215" s="465"/>
      <c r="E215" s="466"/>
      <c r="F215" s="467"/>
    </row>
    <row r="216" spans="1:6" ht="19.5" customHeight="1">
      <c r="A216" s="439"/>
      <c r="B216" s="439"/>
      <c r="C216" s="439"/>
      <c r="D216" s="465"/>
      <c r="E216" s="466"/>
      <c r="F216" s="467"/>
    </row>
    <row r="217" spans="1:6" ht="19.5" customHeight="1">
      <c r="A217" s="439"/>
      <c r="B217" s="439"/>
      <c r="C217" s="439"/>
      <c r="D217" s="465"/>
      <c r="E217" s="466"/>
      <c r="F217" s="467"/>
    </row>
    <row r="218" spans="1:6" ht="19.5" customHeight="1">
      <c r="A218" s="439"/>
      <c r="B218" s="439"/>
      <c r="C218" s="439"/>
      <c r="D218" s="465"/>
      <c r="E218" s="466"/>
      <c r="F218" s="467"/>
    </row>
    <row r="219" spans="1:6" ht="19.5" customHeight="1">
      <c r="A219" s="439"/>
      <c r="B219" s="439"/>
      <c r="C219" s="439"/>
      <c r="D219" s="465"/>
      <c r="E219" s="466"/>
      <c r="F219" s="467"/>
    </row>
    <row r="220" spans="1:6" ht="19.5" customHeight="1">
      <c r="A220" s="439"/>
      <c r="B220" s="439"/>
      <c r="C220" s="439"/>
      <c r="D220" s="465"/>
      <c r="E220" s="466"/>
      <c r="F220" s="467"/>
    </row>
    <row r="221" spans="1:6" ht="19.5" customHeight="1">
      <c r="A221" s="439"/>
      <c r="B221" s="439"/>
      <c r="C221" s="439"/>
      <c r="D221" s="465"/>
      <c r="E221" s="466"/>
      <c r="F221" s="467"/>
    </row>
    <row r="222" spans="1:6" ht="19.5" customHeight="1">
      <c r="A222" s="439"/>
      <c r="B222" s="439"/>
      <c r="C222" s="439"/>
      <c r="D222" s="465"/>
      <c r="E222" s="466"/>
      <c r="F222" s="467"/>
    </row>
    <row r="223" spans="1:6" ht="19.5" customHeight="1">
      <c r="A223" s="439"/>
      <c r="B223" s="439"/>
      <c r="C223" s="439"/>
      <c r="D223" s="465"/>
      <c r="E223" s="466"/>
      <c r="F223" s="467"/>
    </row>
    <row r="224" spans="1:6" ht="19.5" customHeight="1">
      <c r="A224" s="439"/>
      <c r="B224" s="439"/>
      <c r="C224" s="439"/>
      <c r="D224" s="465"/>
      <c r="E224" s="466"/>
      <c r="F224" s="467"/>
    </row>
    <row r="225" spans="1:6" ht="19.5" customHeight="1">
      <c r="A225" s="439"/>
      <c r="B225" s="439"/>
      <c r="C225" s="439"/>
      <c r="D225" s="465"/>
      <c r="E225" s="466"/>
      <c r="F225" s="467"/>
    </row>
    <row r="226" spans="1:6" ht="19.5" customHeight="1">
      <c r="A226" s="439"/>
      <c r="B226" s="439"/>
      <c r="C226" s="439"/>
      <c r="D226" s="465"/>
      <c r="E226" s="466"/>
      <c r="F226" s="467"/>
    </row>
    <row r="227" spans="1:6" ht="19.5" customHeight="1">
      <c r="A227" s="439"/>
      <c r="B227" s="439"/>
      <c r="C227" s="439"/>
      <c r="D227" s="465"/>
      <c r="E227" s="466"/>
      <c r="F227" s="467"/>
    </row>
    <row r="228" spans="1:6" ht="19.5" customHeight="1">
      <c r="A228" s="439"/>
      <c r="B228" s="439"/>
      <c r="C228" s="439"/>
      <c r="D228" s="465"/>
      <c r="E228" s="466"/>
      <c r="F228" s="467"/>
    </row>
    <row r="229" spans="1:6" ht="19.5" customHeight="1">
      <c r="A229" s="439"/>
      <c r="B229" s="439"/>
      <c r="C229" s="439"/>
      <c r="D229" s="465"/>
      <c r="E229" s="442"/>
      <c r="F229" s="467"/>
    </row>
    <row r="230" spans="1:6" ht="19.5" customHeight="1">
      <c r="A230" s="439"/>
      <c r="B230" s="439"/>
      <c r="C230" s="439"/>
      <c r="D230" s="465"/>
      <c r="E230" s="442"/>
      <c r="F230" s="467"/>
    </row>
    <row r="231" spans="1:6" ht="19.5" customHeight="1">
      <c r="A231" s="439"/>
      <c r="B231" s="439"/>
      <c r="C231" s="439"/>
      <c r="D231" s="465"/>
      <c r="E231" s="442"/>
      <c r="F231" s="467"/>
    </row>
    <row r="232" spans="1:6" ht="19.5" customHeight="1">
      <c r="A232" s="439"/>
      <c r="B232" s="439"/>
      <c r="C232" s="439"/>
      <c r="D232" s="465"/>
      <c r="E232" s="442"/>
      <c r="F232" s="467"/>
    </row>
    <row r="233" spans="1:6" ht="19.5" customHeight="1">
      <c r="A233" s="439"/>
      <c r="B233" s="439"/>
      <c r="C233" s="439"/>
      <c r="D233" s="465"/>
      <c r="E233" s="442"/>
      <c r="F233" s="467"/>
    </row>
    <row r="234" spans="1:6" ht="19.5" customHeight="1">
      <c r="A234" s="439"/>
      <c r="B234" s="439"/>
      <c r="C234" s="439"/>
      <c r="D234" s="465"/>
      <c r="E234" s="442"/>
      <c r="F234" s="467"/>
    </row>
    <row r="235" spans="1:6" ht="19.5" customHeight="1">
      <c r="A235" s="439"/>
      <c r="B235" s="439"/>
      <c r="C235" s="439"/>
      <c r="D235" s="465"/>
      <c r="E235" s="442"/>
      <c r="F235" s="467"/>
    </row>
    <row r="236" spans="1:6" ht="19.5" customHeight="1">
      <c r="A236" s="439"/>
      <c r="B236" s="439"/>
      <c r="C236" s="439"/>
      <c r="D236" s="465"/>
      <c r="E236" s="442"/>
      <c r="F236" s="467"/>
    </row>
    <row r="237" spans="1:6" ht="19.5" customHeight="1">
      <c r="A237" s="439"/>
      <c r="B237" s="439"/>
      <c r="C237" s="439"/>
      <c r="D237" s="465"/>
      <c r="E237" s="442"/>
      <c r="F237" s="467"/>
    </row>
    <row r="238" spans="1:6" ht="19.5" customHeight="1">
      <c r="A238" s="439"/>
      <c r="B238" s="439"/>
      <c r="C238" s="439"/>
      <c r="D238" s="465"/>
      <c r="E238" s="442"/>
      <c r="F238" s="467"/>
    </row>
    <row r="239" spans="1:6" ht="19.5" customHeight="1">
      <c r="A239" s="439"/>
      <c r="B239" s="439"/>
      <c r="C239" s="439"/>
      <c r="D239" s="465"/>
      <c r="E239" s="442"/>
      <c r="F239" s="467"/>
    </row>
    <row r="240" spans="1:6" ht="19.5" customHeight="1">
      <c r="A240" s="439"/>
      <c r="B240" s="439"/>
      <c r="C240" s="439"/>
      <c r="D240" s="465"/>
      <c r="E240" s="442"/>
      <c r="F240" s="467"/>
    </row>
    <row r="241" spans="1:6" ht="19.5" customHeight="1">
      <c r="A241" s="439"/>
      <c r="B241" s="439"/>
      <c r="C241" s="439"/>
      <c r="D241" s="465"/>
      <c r="E241" s="442"/>
      <c r="F241" s="467"/>
    </row>
    <row r="242" spans="1:6" ht="19.5" customHeight="1">
      <c r="A242" s="439"/>
      <c r="B242" s="439"/>
      <c r="C242" s="439"/>
      <c r="D242" s="465"/>
      <c r="E242" s="442"/>
      <c r="F242" s="467"/>
    </row>
    <row r="243" spans="1:6" ht="19.5" customHeight="1">
      <c r="A243" s="439"/>
      <c r="B243" s="439"/>
      <c r="C243" s="439"/>
      <c r="D243" s="465"/>
      <c r="E243" s="442"/>
      <c r="F243" s="467"/>
    </row>
    <row r="244" spans="1:6" ht="19.5" customHeight="1">
      <c r="A244" s="439"/>
      <c r="B244" s="439"/>
      <c r="C244" s="439"/>
      <c r="D244" s="465"/>
      <c r="E244" s="442"/>
      <c r="F244" s="467"/>
    </row>
    <row r="245" spans="1:6" ht="19.5" customHeight="1">
      <c r="A245" s="439"/>
      <c r="B245" s="439"/>
      <c r="C245" s="439"/>
      <c r="D245" s="465"/>
      <c r="E245" s="442"/>
      <c r="F245" s="467"/>
    </row>
    <row r="246" spans="1:6" ht="19.5" customHeight="1">
      <c r="A246" s="439"/>
      <c r="B246" s="439"/>
      <c r="C246" s="439"/>
      <c r="D246" s="465"/>
      <c r="E246" s="442"/>
      <c r="F246" s="467"/>
    </row>
    <row r="247" spans="1:6" ht="19.5" customHeight="1">
      <c r="A247" s="439"/>
      <c r="B247" s="439"/>
      <c r="C247" s="439"/>
      <c r="D247" s="465"/>
      <c r="E247" s="442"/>
      <c r="F247" s="467"/>
    </row>
    <row r="248" spans="1:6" ht="19.5" customHeight="1">
      <c r="A248" s="439"/>
      <c r="B248" s="439"/>
      <c r="C248" s="439"/>
      <c r="D248" s="465"/>
      <c r="E248" s="442"/>
      <c r="F248" s="467"/>
    </row>
    <row r="249" spans="1:6" ht="19.5" customHeight="1">
      <c r="A249" s="439"/>
      <c r="B249" s="439"/>
      <c r="C249" s="439"/>
      <c r="D249" s="465"/>
      <c r="E249" s="442"/>
      <c r="F249" s="467"/>
    </row>
    <row r="250" spans="1:6" ht="19.5" customHeight="1">
      <c r="A250" s="439"/>
      <c r="B250" s="439"/>
      <c r="C250" s="439"/>
      <c r="D250" s="465"/>
      <c r="E250" s="442"/>
      <c r="F250" s="467"/>
    </row>
    <row r="251" spans="1:6" ht="19.5" customHeight="1">
      <c r="A251" s="439"/>
      <c r="B251" s="439"/>
      <c r="C251" s="439"/>
      <c r="D251" s="465"/>
      <c r="E251" s="442"/>
      <c r="F251" s="467"/>
    </row>
    <row r="252" spans="1:6" ht="19.5" customHeight="1">
      <c r="A252" s="439"/>
      <c r="B252" s="439"/>
      <c r="C252" s="439"/>
      <c r="D252" s="465"/>
      <c r="E252" s="442"/>
      <c r="F252" s="467"/>
    </row>
    <row r="253" spans="1:6" ht="19.5" customHeight="1">
      <c r="A253" s="439"/>
      <c r="B253" s="439"/>
      <c r="C253" s="439"/>
      <c r="D253" s="465"/>
      <c r="E253" s="442"/>
      <c r="F253" s="467"/>
    </row>
    <row r="254" spans="1:6" ht="19.5" customHeight="1">
      <c r="A254" s="439"/>
      <c r="B254" s="439"/>
      <c r="C254" s="439"/>
      <c r="D254" s="465"/>
      <c r="E254" s="442"/>
      <c r="F254" s="467"/>
    </row>
    <row r="255" spans="1:6" ht="19.5" customHeight="1">
      <c r="A255" s="439"/>
      <c r="B255" s="439"/>
      <c r="C255" s="439"/>
      <c r="D255" s="465"/>
      <c r="E255" s="442"/>
      <c r="F255" s="467"/>
    </row>
    <row r="256" spans="1:6" ht="19.5" customHeight="1">
      <c r="A256" s="439"/>
      <c r="B256" s="439"/>
      <c r="C256" s="439"/>
      <c r="D256" s="465"/>
      <c r="E256" s="442"/>
      <c r="F256" s="467"/>
    </row>
    <row r="257" spans="1:6" ht="19.5" customHeight="1">
      <c r="A257" s="439"/>
      <c r="B257" s="439"/>
      <c r="C257" s="439"/>
      <c r="D257" s="465"/>
      <c r="E257" s="442"/>
      <c r="F257" s="467"/>
    </row>
    <row r="258" spans="1:5" ht="19.5" customHeight="1">
      <c r="A258" s="439"/>
      <c r="B258" s="439"/>
      <c r="C258" s="439"/>
      <c r="D258" s="465"/>
      <c r="E258" s="442"/>
    </row>
    <row r="259" spans="1:5" ht="19.5" customHeight="1">
      <c r="A259" s="439"/>
      <c r="B259" s="439"/>
      <c r="C259" s="439"/>
      <c r="D259" s="465"/>
      <c r="E259" s="442"/>
    </row>
    <row r="260" spans="1:5" ht="19.5" customHeight="1">
      <c r="A260" s="439"/>
      <c r="B260" s="439"/>
      <c r="C260" s="439"/>
      <c r="D260" s="465"/>
      <c r="E260" s="442"/>
    </row>
    <row r="261" spans="1:5" ht="19.5" customHeight="1">
      <c r="A261" s="439"/>
      <c r="B261" s="439"/>
      <c r="C261" s="439"/>
      <c r="D261" s="465"/>
      <c r="E261" s="442"/>
    </row>
    <row r="262" spans="1:5" ht="19.5" customHeight="1">
      <c r="A262" s="439"/>
      <c r="B262" s="439"/>
      <c r="C262" s="439"/>
      <c r="D262" s="465"/>
      <c r="E262" s="442"/>
    </row>
    <row r="263" spans="1:5" ht="19.5" customHeight="1">
      <c r="A263" s="439"/>
      <c r="B263" s="439"/>
      <c r="C263" s="439"/>
      <c r="D263" s="465"/>
      <c r="E263" s="442"/>
    </row>
    <row r="264" spans="1:5" ht="19.5" customHeight="1">
      <c r="A264" s="439"/>
      <c r="B264" s="439"/>
      <c r="C264" s="439"/>
      <c r="D264" s="465"/>
      <c r="E264" s="442"/>
    </row>
    <row r="265" spans="1:5" ht="19.5" customHeight="1">
      <c r="A265" s="439"/>
      <c r="B265" s="439"/>
      <c r="C265" s="439"/>
      <c r="D265" s="465"/>
      <c r="E265" s="442"/>
    </row>
    <row r="266" spans="1:5" ht="19.5" customHeight="1">
      <c r="A266" s="439"/>
      <c r="B266" s="439"/>
      <c r="C266" s="439"/>
      <c r="D266" s="465"/>
      <c r="E266" s="442"/>
    </row>
    <row r="267" spans="1:5" ht="19.5" customHeight="1">
      <c r="A267" s="439"/>
      <c r="B267" s="439"/>
      <c r="C267" s="439"/>
      <c r="D267" s="465"/>
      <c r="E267" s="442"/>
    </row>
    <row r="268" spans="1:5" ht="19.5" customHeight="1">
      <c r="A268" s="439"/>
      <c r="B268" s="439"/>
      <c r="C268" s="439"/>
      <c r="D268" s="465"/>
      <c r="E268" s="442"/>
    </row>
    <row r="269" spans="1:5" ht="19.5" customHeight="1">
      <c r="A269" s="439"/>
      <c r="B269" s="439"/>
      <c r="C269" s="439"/>
      <c r="D269" s="465"/>
      <c r="E269" s="442"/>
    </row>
    <row r="270" spans="1:5" ht="19.5" customHeight="1">
      <c r="A270" s="439"/>
      <c r="B270" s="439"/>
      <c r="C270" s="439"/>
      <c r="D270" s="465"/>
      <c r="E270" s="442"/>
    </row>
    <row r="271" spans="1:5" ht="19.5" customHeight="1">
      <c r="A271" s="439"/>
      <c r="B271" s="439"/>
      <c r="C271" s="439"/>
      <c r="D271" s="465"/>
      <c r="E271" s="442"/>
    </row>
    <row r="272" spans="1:5" ht="19.5" customHeight="1">
      <c r="A272" s="439"/>
      <c r="B272" s="439"/>
      <c r="C272" s="439"/>
      <c r="D272" s="465"/>
      <c r="E272" s="442"/>
    </row>
    <row r="273" spans="1:5" ht="19.5" customHeight="1">
      <c r="A273" s="439"/>
      <c r="B273" s="439"/>
      <c r="C273" s="439"/>
      <c r="D273" s="465"/>
      <c r="E273" s="442"/>
    </row>
    <row r="274" spans="1:5" ht="19.5" customHeight="1">
      <c r="A274" s="439"/>
      <c r="B274" s="439"/>
      <c r="C274" s="439"/>
      <c r="D274" s="465"/>
      <c r="E274" s="442"/>
    </row>
    <row r="275" spans="1:5" ht="19.5" customHeight="1">
      <c r="A275" s="439"/>
      <c r="B275" s="439"/>
      <c r="C275" s="439"/>
      <c r="D275" s="465"/>
      <c r="E275" s="442"/>
    </row>
    <row r="276" spans="1:5" ht="19.5" customHeight="1">
      <c r="A276" s="439"/>
      <c r="B276" s="439"/>
      <c r="C276" s="439"/>
      <c r="D276" s="465"/>
      <c r="E276" s="442"/>
    </row>
    <row r="277" spans="1:5" ht="19.5" customHeight="1">
      <c r="A277" s="439"/>
      <c r="B277" s="439"/>
      <c r="C277" s="439"/>
      <c r="D277" s="465"/>
      <c r="E277" s="442"/>
    </row>
    <row r="278" spans="1:5" ht="19.5" customHeight="1">
      <c r="A278" s="439"/>
      <c r="B278" s="439"/>
      <c r="C278" s="439"/>
      <c r="D278" s="465"/>
      <c r="E278" s="442"/>
    </row>
    <row r="279" spans="1:5" ht="19.5" customHeight="1">
      <c r="A279" s="439"/>
      <c r="B279" s="439"/>
      <c r="C279" s="439"/>
      <c r="D279" s="465"/>
      <c r="E279" s="442"/>
    </row>
    <row r="280" spans="1:5" ht="19.5" customHeight="1">
      <c r="A280" s="439"/>
      <c r="B280" s="439"/>
      <c r="C280" s="439"/>
      <c r="D280" s="465"/>
      <c r="E280" s="442"/>
    </row>
    <row r="281" spans="1:5" ht="19.5" customHeight="1">
      <c r="A281" s="439"/>
      <c r="B281" s="439"/>
      <c r="C281" s="439"/>
      <c r="D281" s="465"/>
      <c r="E281" s="442"/>
    </row>
    <row r="282" spans="1:5" ht="19.5" customHeight="1">
      <c r="A282" s="439"/>
      <c r="B282" s="439"/>
      <c r="C282" s="439"/>
      <c r="D282" s="465"/>
      <c r="E282" s="442"/>
    </row>
    <row r="283" spans="1:5" ht="19.5" customHeight="1">
      <c r="A283" s="439"/>
      <c r="B283" s="439"/>
      <c r="C283" s="439"/>
      <c r="D283" s="465"/>
      <c r="E283" s="442"/>
    </row>
    <row r="284" spans="1:5" ht="19.5" customHeight="1">
      <c r="A284" s="439"/>
      <c r="B284" s="439"/>
      <c r="C284" s="439"/>
      <c r="D284" s="465"/>
      <c r="E284" s="442"/>
    </row>
    <row r="285" spans="1:5" ht="19.5" customHeight="1">
      <c r="A285" s="439"/>
      <c r="B285" s="439"/>
      <c r="C285" s="439"/>
      <c r="D285" s="465"/>
      <c r="E285" s="442"/>
    </row>
    <row r="286" spans="1:5" ht="19.5" customHeight="1">
      <c r="A286" s="439"/>
      <c r="B286" s="439"/>
      <c r="C286" s="439"/>
      <c r="D286" s="465"/>
      <c r="E286" s="442"/>
    </row>
    <row r="287" spans="1:5" ht="19.5" customHeight="1">
      <c r="A287" s="439"/>
      <c r="B287" s="439"/>
      <c r="C287" s="439"/>
      <c r="D287" s="465"/>
      <c r="E287" s="442"/>
    </row>
    <row r="288" spans="1:5" ht="19.5" customHeight="1">
      <c r="A288" s="439"/>
      <c r="B288" s="439"/>
      <c r="C288" s="439"/>
      <c r="D288" s="465"/>
      <c r="E288" s="442"/>
    </row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</sheetData>
  <sheetProtection password="CF53" sheet="1" formatRows="0" insertColumns="0" insertRows="0" insertHyperlinks="0" deleteColumns="0" deleteRows="0" sort="0" autoFilter="0" pivotTables="0"/>
  <mergeCells count="5">
    <mergeCell ref="F1:G1"/>
    <mergeCell ref="A3:G3"/>
    <mergeCell ref="A7:D7"/>
    <mergeCell ref="A139:D139"/>
    <mergeCell ref="A106:D106"/>
  </mergeCells>
  <printOptions horizontalCentered="1"/>
  <pageMargins left="0.7874015748031497" right="0.35433070866141736" top="0.984251968503937" bottom="0.98425196850393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I186"/>
  <sheetViews>
    <sheetView view="pageBreakPreview" zoomScaleSheetLayoutView="100" zoomScalePageLayoutView="0" workbookViewId="0" topLeftCell="A1">
      <pane ySplit="6" topLeftCell="A74" activePane="bottomLeft" state="frozen"/>
      <selection pane="topLeft" activeCell="I244" sqref="I244"/>
      <selection pane="bottomLeft" activeCell="K80" sqref="K80"/>
    </sheetView>
  </sheetViews>
  <sheetFormatPr defaultColWidth="9.00390625" defaultRowHeight="12.75"/>
  <cols>
    <col min="1" max="1" width="45.125" style="472" customWidth="1"/>
    <col min="2" max="2" width="13.125" style="472" customWidth="1"/>
    <col min="3" max="3" width="13.00390625" style="472" customWidth="1"/>
    <col min="4" max="4" width="7.125" style="472" customWidth="1"/>
    <col min="5" max="5" width="7.75390625" style="472" customWidth="1"/>
    <col min="6" max="6" width="21.25390625" style="475" hidden="1" customWidth="1"/>
    <col min="7" max="7" width="13.625" style="472" hidden="1" customWidth="1"/>
    <col min="8" max="9" width="0" style="472" hidden="1" customWidth="1"/>
    <col min="10" max="16384" width="9.125" style="472" customWidth="1"/>
  </cols>
  <sheetData>
    <row r="1" spans="1:6" s="877" customFormat="1" ht="12.75">
      <c r="A1" s="892"/>
      <c r="B1" s="892"/>
      <c r="D1" s="2003" t="s">
        <v>1711</v>
      </c>
      <c r="E1" s="2003"/>
      <c r="F1" s="878"/>
    </row>
    <row r="2" spans="1:6" s="877" customFormat="1" ht="13.5" customHeight="1">
      <c r="A2" s="892"/>
      <c r="B2" s="892"/>
      <c r="F2" s="878"/>
    </row>
    <row r="3" spans="1:6" s="894" customFormat="1" ht="12.75">
      <c r="A3" s="2004" t="s">
        <v>1181</v>
      </c>
      <c r="B3" s="2004"/>
      <c r="C3" s="2004"/>
      <c r="D3" s="2004"/>
      <c r="E3" s="2004"/>
      <c r="F3" s="893"/>
    </row>
    <row r="4" spans="4:6" s="894" customFormat="1" ht="13.5" thickBot="1">
      <c r="D4" s="876"/>
      <c r="E4" s="876" t="s">
        <v>208</v>
      </c>
      <c r="F4" s="893"/>
    </row>
    <row r="5" spans="1:6" s="877" customFormat="1" ht="26.25" customHeight="1">
      <c r="A5" s="895" t="s">
        <v>238</v>
      </c>
      <c r="B5" s="896" t="s">
        <v>211</v>
      </c>
      <c r="C5" s="897" t="s">
        <v>212</v>
      </c>
      <c r="D5" s="898" t="s">
        <v>931</v>
      </c>
      <c r="E5" s="899" t="s">
        <v>121</v>
      </c>
      <c r="F5" s="878"/>
    </row>
    <row r="6" spans="1:6" s="906" customFormat="1" ht="12.75" customHeight="1" thickBot="1">
      <c r="A6" s="900">
        <v>1</v>
      </c>
      <c r="B6" s="901">
        <v>2</v>
      </c>
      <c r="C6" s="902">
        <v>3</v>
      </c>
      <c r="D6" s="903">
        <v>4</v>
      </c>
      <c r="E6" s="904">
        <v>5</v>
      </c>
      <c r="F6" s="905"/>
    </row>
    <row r="7" spans="1:6" s="906" customFormat="1" ht="8.25" customHeight="1">
      <c r="A7" s="907"/>
      <c r="B7" s="908"/>
      <c r="C7" s="909"/>
      <c r="D7" s="909"/>
      <c r="E7" s="910"/>
      <c r="F7" s="905"/>
    </row>
    <row r="8" spans="1:6" s="877" customFormat="1" ht="12.75">
      <c r="A8" s="911" t="s">
        <v>1266</v>
      </c>
      <c r="B8" s="912">
        <f>SUM(B10,B20,B33,B37,B39,B43)</f>
        <v>135432855</v>
      </c>
      <c r="C8" s="2196">
        <f>SUM(C10,C20,C33,C37,C39,C43)</f>
        <v>130580498.38</v>
      </c>
      <c r="D8" s="913">
        <f>C8/B8*100</f>
        <v>96.41714957570672</v>
      </c>
      <c r="E8" s="914">
        <f>C8/$C$84*100</f>
        <v>60.595326914558235</v>
      </c>
      <c r="F8" s="878" t="s">
        <v>1227</v>
      </c>
    </row>
    <row r="9" spans="1:6" s="877" customFormat="1" ht="6.75" customHeight="1">
      <c r="A9" s="915"/>
      <c r="B9" s="916"/>
      <c r="C9" s="916"/>
      <c r="D9" s="917"/>
      <c r="E9" s="918"/>
      <c r="F9" s="878"/>
    </row>
    <row r="10" spans="1:8" s="877" customFormat="1" ht="12.75">
      <c r="A10" s="915" t="s">
        <v>1267</v>
      </c>
      <c r="B10" s="916">
        <f>SUM(B11:B18)</f>
        <v>34317600</v>
      </c>
      <c r="C10" s="916">
        <f>SUM(C11:C18)</f>
        <v>34395217.599999994</v>
      </c>
      <c r="D10" s="917">
        <f aca="true" t="shared" si="0" ref="D10:D17">C10/B10*100</f>
        <v>100.22617432454481</v>
      </c>
      <c r="E10" s="918">
        <f aca="true" t="shared" si="1" ref="E10:E17">C10/$C$84*100</f>
        <v>15.960954971271468</v>
      </c>
      <c r="F10" s="878" t="s">
        <v>1227</v>
      </c>
      <c r="G10" s="919">
        <f>SUM(C10,C20)</f>
        <v>50291222.059999995</v>
      </c>
      <c r="H10" s="877">
        <f>G10/C84*100</f>
        <v>23.337428478716017</v>
      </c>
    </row>
    <row r="11" spans="1:6" s="877" customFormat="1" ht="12.75">
      <c r="A11" s="920" t="s">
        <v>244</v>
      </c>
      <c r="B11" s="891">
        <f>SUM(6DOCHODY!E165+6DOCHODY!E175)</f>
        <v>30950000</v>
      </c>
      <c r="C11" s="891">
        <f>SUM(6DOCHODY!F165+6DOCHODY!F175)</f>
        <v>30862531.11</v>
      </c>
      <c r="D11" s="887">
        <f t="shared" si="0"/>
        <v>99.71738646203553</v>
      </c>
      <c r="E11" s="888">
        <f t="shared" si="1"/>
        <v>14.321626775990362</v>
      </c>
      <c r="F11" s="878" t="s">
        <v>1113</v>
      </c>
    </row>
    <row r="12" spans="1:6" s="877" customFormat="1" ht="12.75">
      <c r="A12" s="920" t="s">
        <v>245</v>
      </c>
      <c r="B12" s="891">
        <f>SUM(6DOCHODY!E166,6DOCHODY!E176)</f>
        <v>62000</v>
      </c>
      <c r="C12" s="891">
        <f>SUM(6DOCHODY!F166,6DOCHODY!F176)</f>
        <v>60477.82</v>
      </c>
      <c r="D12" s="887">
        <f t="shared" si="0"/>
        <v>97.54487096774194</v>
      </c>
      <c r="E12" s="888">
        <f t="shared" si="1"/>
        <v>0.028064476085206135</v>
      </c>
      <c r="F12" s="878" t="s">
        <v>1114</v>
      </c>
    </row>
    <row r="13" spans="1:6" s="877" customFormat="1" ht="12.75">
      <c r="A13" s="920" t="s">
        <v>246</v>
      </c>
      <c r="B13" s="891">
        <f>SUM(6DOCHODY!E167,6DOCHODY!E177)</f>
        <v>70600</v>
      </c>
      <c r="C13" s="891">
        <f>SUM(6DOCHODY!F167,6DOCHODY!F177)</f>
        <v>76133.93</v>
      </c>
      <c r="D13" s="887">
        <f t="shared" si="0"/>
        <v>107.83842776203964</v>
      </c>
      <c r="E13" s="888">
        <f t="shared" si="1"/>
        <v>0.03532962758508421</v>
      </c>
      <c r="F13" s="878" t="s">
        <v>1115</v>
      </c>
    </row>
    <row r="14" spans="1:6" s="877" customFormat="1" ht="12.75">
      <c r="A14" s="920" t="s">
        <v>247</v>
      </c>
      <c r="B14" s="891">
        <f>SUM(6DOCHODY!E168,6DOCHODY!E178)</f>
        <v>520000</v>
      </c>
      <c r="C14" s="891">
        <f>SUM(6DOCHODY!F168,6DOCHODY!F178)</f>
        <v>607888.3</v>
      </c>
      <c r="D14" s="887">
        <f t="shared" si="0"/>
        <v>116.90159615384617</v>
      </c>
      <c r="E14" s="888">
        <f t="shared" si="1"/>
        <v>0.28208798957744535</v>
      </c>
      <c r="F14" s="878" t="s">
        <v>1116</v>
      </c>
    </row>
    <row r="15" spans="1:6" s="877" customFormat="1" ht="25.5" customHeight="1">
      <c r="A15" s="885" t="s">
        <v>1569</v>
      </c>
      <c r="B15" s="886">
        <f>SUM(6DOCHODY!E162)</f>
        <v>400000</v>
      </c>
      <c r="C15" s="886">
        <f>SUM(6DOCHODY!F162)</f>
        <v>458811.49</v>
      </c>
      <c r="D15" s="887">
        <f t="shared" si="0"/>
        <v>114.7028725</v>
      </c>
      <c r="E15" s="888">
        <f t="shared" si="1"/>
        <v>0.21290952763712043</v>
      </c>
      <c r="F15" s="878" t="s">
        <v>1117</v>
      </c>
    </row>
    <row r="16" spans="1:6" s="877" customFormat="1" ht="12.75">
      <c r="A16" s="920" t="s">
        <v>248</v>
      </c>
      <c r="B16" s="891">
        <f>SUM(6DOCHODY!E179)</f>
        <v>250000</v>
      </c>
      <c r="C16" s="891">
        <f>SUM(6DOCHODY!F179)</f>
        <v>166003.5</v>
      </c>
      <c r="D16" s="887">
        <f t="shared" si="0"/>
        <v>66.4014</v>
      </c>
      <c r="E16" s="888">
        <f t="shared" si="1"/>
        <v>0.07703322070488845</v>
      </c>
      <c r="F16" s="878" t="s">
        <v>1118</v>
      </c>
    </row>
    <row r="17" spans="1:6" s="877" customFormat="1" ht="12.75">
      <c r="A17" s="920" t="s">
        <v>249</v>
      </c>
      <c r="B17" s="891">
        <f>SUM(6DOCHODY!E169,6DOCHODY!E183)</f>
        <v>2065000</v>
      </c>
      <c r="C17" s="891">
        <f>SUM(6DOCHODY!F169,6DOCHODY!F183)</f>
        <v>2159193.51</v>
      </c>
      <c r="D17" s="887">
        <f t="shared" si="0"/>
        <v>104.56142905569006</v>
      </c>
      <c r="E17" s="888">
        <f t="shared" si="1"/>
        <v>1.001964598339148</v>
      </c>
      <c r="F17" s="878" t="s">
        <v>1127</v>
      </c>
    </row>
    <row r="18" spans="1:6" s="877" customFormat="1" ht="12.75">
      <c r="A18" s="920" t="s">
        <v>785</v>
      </c>
      <c r="B18" s="891">
        <f>SUM(6DOCHODY!E171,6DOCHODY!E184)</f>
        <v>0</v>
      </c>
      <c r="C18" s="891">
        <f>SUM(6DOCHODY!F171,6DOCHODY!F184)</f>
        <v>4177.9400000000005</v>
      </c>
      <c r="D18" s="921" t="s">
        <v>1195</v>
      </c>
      <c r="E18" s="888">
        <f>C18/$C$84*100</f>
        <v>0.0019387553522171622</v>
      </c>
      <c r="F18" s="878" t="s">
        <v>1128</v>
      </c>
    </row>
    <row r="19" spans="1:6" s="877" customFormat="1" ht="6" customHeight="1">
      <c r="A19" s="915"/>
      <c r="B19" s="916"/>
      <c r="C19" s="916"/>
      <c r="D19" s="917"/>
      <c r="E19" s="918"/>
      <c r="F19" s="878"/>
    </row>
    <row r="20" spans="1:6" s="877" customFormat="1" ht="12.75">
      <c r="A20" s="915" t="s">
        <v>239</v>
      </c>
      <c r="B20" s="916">
        <f>SUM(B21:B31)</f>
        <v>15657458</v>
      </c>
      <c r="C20" s="916">
        <f>SUM(C21:C31)</f>
        <v>15896004.459999999</v>
      </c>
      <c r="D20" s="917">
        <f aca="true" t="shared" si="2" ref="D20:D31">C20/B20*100</f>
        <v>101.52353249167265</v>
      </c>
      <c r="E20" s="918">
        <f aca="true" t="shared" si="3" ref="E20:E31">C20/$C$84*100</f>
        <v>7.376473507444549</v>
      </c>
      <c r="F20" s="878" t="s">
        <v>1227</v>
      </c>
    </row>
    <row r="21" spans="1:6" s="877" customFormat="1" ht="12.75">
      <c r="A21" s="920" t="s">
        <v>932</v>
      </c>
      <c r="B21" s="891">
        <f>SUM(6DOCHODY!E390)</f>
        <v>16000</v>
      </c>
      <c r="C21" s="891">
        <f>SUM(6DOCHODY!F390)</f>
        <v>5263.52</v>
      </c>
      <c r="D21" s="887">
        <f t="shared" si="2"/>
        <v>32.897000000000006</v>
      </c>
      <c r="E21" s="888">
        <f t="shared" si="3"/>
        <v>0.0024425141508738943</v>
      </c>
      <c r="F21" s="878" t="s">
        <v>1121</v>
      </c>
    </row>
    <row r="22" spans="1:6" s="877" customFormat="1" ht="12.75">
      <c r="A22" s="920" t="s">
        <v>250</v>
      </c>
      <c r="B22" s="891">
        <f>SUM(6DOCHODY!E188)</f>
        <v>500000</v>
      </c>
      <c r="C22" s="891">
        <f>SUM(6DOCHODY!F188)</f>
        <v>404486.93</v>
      </c>
      <c r="D22" s="887">
        <f t="shared" si="2"/>
        <v>80.897386</v>
      </c>
      <c r="E22" s="888">
        <f t="shared" si="3"/>
        <v>0.18770044577935263</v>
      </c>
      <c r="F22" s="878" t="s">
        <v>1122</v>
      </c>
    </row>
    <row r="23" spans="1:6" s="877" customFormat="1" ht="12.75">
      <c r="A23" s="920" t="s">
        <v>251</v>
      </c>
      <c r="B23" s="891">
        <f>SUM(6DOCHODY!E508)</f>
        <v>687120</v>
      </c>
      <c r="C23" s="891">
        <f>SUM(6DOCHODY!F508)</f>
        <v>706689.95</v>
      </c>
      <c r="D23" s="887">
        <f t="shared" si="2"/>
        <v>102.84811241122365</v>
      </c>
      <c r="E23" s="888">
        <f t="shared" si="3"/>
        <v>0.32793647656993125</v>
      </c>
      <c r="F23" s="878" t="s">
        <v>1123</v>
      </c>
    </row>
    <row r="24" spans="1:6" s="877" customFormat="1" ht="12.75">
      <c r="A24" s="920" t="s">
        <v>1740</v>
      </c>
      <c r="B24" s="891">
        <f>SUM(6DOCHODY!E180)</f>
        <v>80000</v>
      </c>
      <c r="C24" s="891">
        <f>SUM(6DOCHODY!F180)</f>
        <v>78764.57</v>
      </c>
      <c r="D24" s="887">
        <f t="shared" si="2"/>
        <v>98.4557125</v>
      </c>
      <c r="E24" s="888">
        <f t="shared" si="3"/>
        <v>0.03655036492926737</v>
      </c>
      <c r="F24" s="878" t="s">
        <v>1119</v>
      </c>
    </row>
    <row r="25" spans="1:6" s="877" customFormat="1" ht="12.75">
      <c r="A25" s="920" t="s">
        <v>232</v>
      </c>
      <c r="B25" s="891">
        <f>SUM(6DOCHODY!E181)</f>
        <v>5700000</v>
      </c>
      <c r="C25" s="891">
        <f>SUM(6DOCHODY!F181)</f>
        <v>5660294.25</v>
      </c>
      <c r="D25" s="887">
        <f t="shared" si="2"/>
        <v>99.30340789473684</v>
      </c>
      <c r="E25" s="888">
        <f t="shared" si="3"/>
        <v>2.626635560183135</v>
      </c>
      <c r="F25" s="878" t="s">
        <v>1120</v>
      </c>
    </row>
    <row r="26" spans="1:6" s="877" customFormat="1" ht="12.75">
      <c r="A26" s="920" t="s">
        <v>441</v>
      </c>
      <c r="B26" s="891">
        <f>SUM(6DOCHODY!E182)</f>
        <v>600000</v>
      </c>
      <c r="C26" s="891">
        <f>SUM(6DOCHODY!F182)</f>
        <v>607866.5</v>
      </c>
      <c r="D26" s="887">
        <f t="shared" si="2"/>
        <v>101.31108333333334</v>
      </c>
      <c r="E26" s="888">
        <f t="shared" si="3"/>
        <v>0.28207787337982676</v>
      </c>
      <c r="F26" s="878" t="s">
        <v>1124</v>
      </c>
    </row>
    <row r="27" spans="1:6" s="877" customFormat="1" ht="12.75">
      <c r="A27" s="920" t="s">
        <v>1657</v>
      </c>
      <c r="B27" s="891">
        <f>SUM(6DOCHODY!E189)</f>
        <v>7000</v>
      </c>
      <c r="C27" s="891">
        <f>SUM(6DOCHODY!F189)</f>
        <v>6121.66</v>
      </c>
      <c r="D27" s="887">
        <f t="shared" si="2"/>
        <v>87.45228571428572</v>
      </c>
      <c r="E27" s="888">
        <f t="shared" si="3"/>
        <v>0.0028407303813491125</v>
      </c>
      <c r="F27" s="878" t="s">
        <v>1125</v>
      </c>
    </row>
    <row r="28" spans="1:6" s="877" customFormat="1" ht="12.75">
      <c r="A28" s="920" t="s">
        <v>1659</v>
      </c>
      <c r="B28" s="891">
        <f>SUM(6DOCHODY!E190)</f>
        <v>1700000</v>
      </c>
      <c r="C28" s="891">
        <f>SUM(6DOCHODY!F190)</f>
        <v>1769501.69</v>
      </c>
      <c r="D28" s="887">
        <f t="shared" si="2"/>
        <v>104.08833470588235</v>
      </c>
      <c r="E28" s="888">
        <f t="shared" si="3"/>
        <v>0.8211297606583181</v>
      </c>
      <c r="F28" s="878" t="s">
        <v>1126</v>
      </c>
    </row>
    <row r="29" spans="1:6" s="877" customFormat="1" ht="12.75">
      <c r="A29" s="920" t="s">
        <v>1199</v>
      </c>
      <c r="B29" s="891">
        <f>SUM(6DOCHODY!E191,6DOCHODY!E509)</f>
        <v>4950000</v>
      </c>
      <c r="C29" s="891">
        <f>SUM(6DOCHODY!F191,6DOCHODY!F509)</f>
        <v>4901744.7</v>
      </c>
      <c r="D29" s="887">
        <f t="shared" si="2"/>
        <v>99.02514545454547</v>
      </c>
      <c r="E29" s="888">
        <f t="shared" si="3"/>
        <v>2.2746338559977186</v>
      </c>
      <c r="F29" s="878" t="s">
        <v>1131</v>
      </c>
    </row>
    <row r="30" spans="1:6" s="877" customFormat="1" ht="12.75">
      <c r="A30" s="920" t="s">
        <v>1660</v>
      </c>
      <c r="B30" s="891">
        <f>SUM(6DOCHODY!E193)</f>
        <v>10000</v>
      </c>
      <c r="C30" s="891">
        <f>SUM(6DOCHODY!F193)</f>
        <v>10848.5</v>
      </c>
      <c r="D30" s="887">
        <f t="shared" si="2"/>
        <v>108.48500000000001</v>
      </c>
      <c r="E30" s="888">
        <f t="shared" si="3"/>
        <v>0.005034200452502401</v>
      </c>
      <c r="F30" s="878" t="s">
        <v>1129</v>
      </c>
    </row>
    <row r="31" spans="1:6" s="884" customFormat="1" ht="25.5">
      <c r="A31" s="879" t="s">
        <v>78</v>
      </c>
      <c r="B31" s="922">
        <f>SUM(6DOCHODY!E13,6DOCHODY!E32,6DOCHODY!E43,6DOCHODY!E80,6DOCHODY!E194,6DOCHODY!E207,6DOCHODY!E238,6DOCHODY!E243,6DOCHODY!E247,6DOCHODY!E292,6DOCHODY!E386,6DOCHODY!E451,6DOCHODY!E490,6DOCHODY!E510,6DOCHODY!E557,6DOCHODY!E613,6DOCHODY!E108,6DOCHODY!E173,6DOCHODY!E533)</f>
        <v>1407338</v>
      </c>
      <c r="C31" s="922">
        <f>SUM(6DOCHODY!F13,6DOCHODY!F32,6DOCHODY!F43,6DOCHODY!F80,6DOCHODY!F194,6DOCHODY!F207,6DOCHODY!F238,6DOCHODY!F243,6DOCHODY!F247,6DOCHODY!F292,6DOCHODY!F386,6DOCHODY!F451,6DOCHODY!F490,6DOCHODY!F510,6DOCHODY!F557,6DOCHODY!F613,6DOCHODY!F108,6DOCHODY!F173,6DOCHODY!F533)</f>
        <v>1744422.1900000002</v>
      </c>
      <c r="D31" s="881">
        <f t="shared" si="2"/>
        <v>123.95189997001432</v>
      </c>
      <c r="E31" s="882">
        <f t="shared" si="3"/>
        <v>0.8094917249622741</v>
      </c>
      <c r="F31" s="883" t="s">
        <v>1130</v>
      </c>
    </row>
    <row r="32" spans="1:6" s="877" customFormat="1" ht="4.5" customHeight="1">
      <c r="A32" s="915"/>
      <c r="B32" s="916"/>
      <c r="C32" s="916"/>
      <c r="D32" s="917"/>
      <c r="E32" s="918"/>
      <c r="F32" s="878"/>
    </row>
    <row r="33" spans="1:6" s="877" customFormat="1" ht="25.5">
      <c r="A33" s="923" t="s">
        <v>328</v>
      </c>
      <c r="B33" s="916">
        <f>B34+B35</f>
        <v>36880568</v>
      </c>
      <c r="C33" s="916">
        <f>C34+C35</f>
        <v>35728725.69</v>
      </c>
      <c r="D33" s="917">
        <f>C33/B33*100</f>
        <v>96.87683142515591</v>
      </c>
      <c r="E33" s="918">
        <f>C33/$C$84*100</f>
        <v>16.579763749452198</v>
      </c>
      <c r="F33" s="878" t="s">
        <v>1227</v>
      </c>
    </row>
    <row r="34" spans="1:6" s="877" customFormat="1" ht="12.75">
      <c r="A34" s="920" t="s">
        <v>1661</v>
      </c>
      <c r="B34" s="891">
        <f>SUM(6DOCHODY!E198,6DOCHODY!E513)</f>
        <v>35295568</v>
      </c>
      <c r="C34" s="891">
        <f>SUM(6DOCHODY!F198,6DOCHODY!F513)</f>
        <v>34008623</v>
      </c>
      <c r="D34" s="887">
        <f>C34/B34*100</f>
        <v>96.35380566761243</v>
      </c>
      <c r="E34" s="888">
        <f>C34/$C$84*100</f>
        <v>15.781557385406606</v>
      </c>
      <c r="F34" s="878" t="s">
        <v>1111</v>
      </c>
    </row>
    <row r="35" spans="1:6" s="877" customFormat="1" ht="12.75">
      <c r="A35" s="920" t="s">
        <v>1662</v>
      </c>
      <c r="B35" s="891">
        <f>SUM(6DOCHODY!E199,6DOCHODY!E514)</f>
        <v>1585000</v>
      </c>
      <c r="C35" s="891">
        <f>SUM(6DOCHODY!F199,6DOCHODY!F514)</f>
        <v>1720102.69</v>
      </c>
      <c r="D35" s="887">
        <f>C35/B35*100</f>
        <v>108.52382902208203</v>
      </c>
      <c r="E35" s="888">
        <f>C35/$C$84*100</f>
        <v>0.7982063640455913</v>
      </c>
      <c r="F35" s="878" t="s">
        <v>1112</v>
      </c>
    </row>
    <row r="36" spans="1:6" s="877" customFormat="1" ht="3" customHeight="1">
      <c r="A36" s="915"/>
      <c r="B36" s="916"/>
      <c r="C36" s="916"/>
      <c r="D36" s="917"/>
      <c r="E36" s="918"/>
      <c r="F36" s="878"/>
    </row>
    <row r="37" spans="1:6" s="877" customFormat="1" ht="12.75">
      <c r="A37" s="915" t="s">
        <v>1420</v>
      </c>
      <c r="B37" s="916">
        <f>SUM(6DOCHODY!E14,6DOCHODY!E33,6DOCHODY!E44,6DOCHODY!E54,6DOCHODY!E77,6DOCHODY!E81,6DOCHODY!E82,6DOCHODY!E83,6DOCHODY!E109,6DOCHODY!E111,6DOCHODY!E209,6DOCHODY!E365,6DOCHODY!E393,6DOCHODY!E394,6DOCHODY!E452,6DOCHODY!E455,6DOCHODY!E491,6DOCHODY!E534)</f>
        <v>31974203</v>
      </c>
      <c r="C37" s="916">
        <f>SUM(6DOCHODY!F14,6DOCHODY!F33,6DOCHODY!F44,6DOCHODY!F54,6DOCHODY!F77,6DOCHODY!F81,6DOCHODY!F82,6DOCHODY!F83,6DOCHODY!F109,6DOCHODY!F111,6DOCHODY!F209,6DOCHODY!F365,6DOCHODY!F393,6DOCHODY!F394,6DOCHODY!F452,6DOCHODY!F455,6DOCHODY!F491,6DOCHODY!F534)</f>
        <v>27366296.090000007</v>
      </c>
      <c r="D37" s="917">
        <f>C37/B37*100</f>
        <v>85.58867312501897</v>
      </c>
      <c r="E37" s="918">
        <f>C37/$C$84*100</f>
        <v>12.699213730893003</v>
      </c>
      <c r="F37" s="878" t="s">
        <v>1132</v>
      </c>
    </row>
    <row r="38" spans="1:6" s="877" customFormat="1" ht="3" customHeight="1">
      <c r="A38" s="915"/>
      <c r="B38" s="916"/>
      <c r="C38" s="2194"/>
      <c r="D38" s="917"/>
      <c r="E38" s="918"/>
      <c r="F38" s="878"/>
    </row>
    <row r="39" spans="1:6" s="877" customFormat="1" ht="15.75" customHeight="1">
      <c r="A39" s="915" t="s">
        <v>150</v>
      </c>
      <c r="B39" s="916">
        <f>SUM(B40,B41)</f>
        <v>636851</v>
      </c>
      <c r="C39" s="2194">
        <f>SUM(C40,C41)</f>
        <v>541715.9400000001</v>
      </c>
      <c r="D39" s="924">
        <f>C39/B39*100</f>
        <v>85.0616455026372</v>
      </c>
      <c r="E39" s="925">
        <f>C39/$C$84*100</f>
        <v>0.25138098633689115</v>
      </c>
      <c r="F39" s="878" t="s">
        <v>1227</v>
      </c>
    </row>
    <row r="40" spans="1:6" s="889" customFormat="1" ht="25.5" customHeight="1">
      <c r="A40" s="885" t="s">
        <v>151</v>
      </c>
      <c r="B40" s="886">
        <f>SUM(6DOCHODY!E210,6DOCHODY!E231,6DOCHODY!E275,6DOCHODY!E315,6DOCHODY!E336,6DOCHODY!E344)</f>
        <v>86351</v>
      </c>
      <c r="C40" s="2195">
        <f>SUM(6DOCHODY!F210,6DOCHODY!F231,6DOCHODY!F275,6DOCHODY!F315,6DOCHODY!F336,6DOCHODY!F344)</f>
        <v>159611.36000000002</v>
      </c>
      <c r="D40" s="887">
        <f>C40/B40*100</f>
        <v>184.8401987238133</v>
      </c>
      <c r="E40" s="888">
        <f>C40/$C$84*100</f>
        <v>0.07406697522574768</v>
      </c>
      <c r="F40" s="878" t="s">
        <v>1109</v>
      </c>
    </row>
    <row r="41" spans="1:6" s="889" customFormat="1" ht="25.5" customHeight="1">
      <c r="A41" s="885" t="s">
        <v>909</v>
      </c>
      <c r="B41" s="886">
        <f>SUM(6DOCHODY!E15,6DOCHODY!E34,6DOCHODY!E45,6DOCHODY!E55,6DOCHODY!E84,6DOCHODY!E102,6DOCHODY!E112,6DOCHODY!E113,6DOCHODY!E163,6DOCHODY!E172,6DOCHODY!E185,6DOCHODY!E186,6DOCHODY!E195,6DOCHODY!E196,6DOCHODY!E248,6DOCHODY!E256,6DOCHODY!E260,6DOCHODY!E264,6DOCHODY!E293,6DOCHODY!E323,6DOCHODY!E342,6DOCHODY!E381,6DOCHODY!E387,6DOCHODY!E395,6DOCHODY!E407,6DOCHODY!E433,6DOCHODY!E456,6DOCHODY!E477,6DOCHODY!E492,6DOCHODY!E511)+6DOCHODY!E417+6DOCHODY!E360+6DOCHODY!E545</f>
        <v>550500</v>
      </c>
      <c r="C41" s="2195">
        <f>SUM(6DOCHODY!F15,6DOCHODY!F34,6DOCHODY!F45,6DOCHODY!F55,6DOCHODY!F84,6DOCHODY!F102,6DOCHODY!F112,6DOCHODY!F113,6DOCHODY!F163,6DOCHODY!F172,6DOCHODY!F185,6DOCHODY!F186,6DOCHODY!F195,6DOCHODY!F196,6DOCHODY!F248,6DOCHODY!F256,6DOCHODY!F260,6DOCHODY!F264,6DOCHODY!F293,6DOCHODY!F323,6DOCHODY!F342,6DOCHODY!F381,6DOCHODY!F387,6DOCHODY!F395,6DOCHODY!F407,6DOCHODY!F433,6DOCHODY!F456,6DOCHODY!F477,6DOCHODY!F492,6DOCHODY!F511)+6DOCHODY!F417+6DOCHODY!F360+6DOCHODY!F545</f>
        <v>382104.58</v>
      </c>
      <c r="D41" s="887">
        <f>C41/B41*100</f>
        <v>69.410459582198</v>
      </c>
      <c r="E41" s="888">
        <f>C41/$C$84*100</f>
        <v>0.17731401111114348</v>
      </c>
      <c r="F41" s="878" t="s">
        <v>1110</v>
      </c>
    </row>
    <row r="42" spans="1:6" s="877" customFormat="1" ht="2.25" customHeight="1">
      <c r="A42" s="915"/>
      <c r="B42" s="916"/>
      <c r="C42" s="916"/>
      <c r="D42" s="917"/>
      <c r="E42" s="918"/>
      <c r="F42" s="878"/>
    </row>
    <row r="43" spans="1:6" s="877" customFormat="1" ht="18" customHeight="1">
      <c r="A43" s="923" t="s">
        <v>152</v>
      </c>
      <c r="B43" s="926">
        <f>SUM(B44,B45,B46,B47,B48,B49,B50,B51,B52)</f>
        <v>15966175</v>
      </c>
      <c r="C43" s="926">
        <f>SUM(C44,C45,C46,C47,C48,C49,C50,C51,C52)</f>
        <v>16652538.6</v>
      </c>
      <c r="D43" s="917">
        <f aca="true" t="shared" si="4" ref="D43:D52">C43/B43*100</f>
        <v>104.29886055990241</v>
      </c>
      <c r="E43" s="918">
        <f aca="true" t="shared" si="5" ref="E43:E52">C43/$C$84*100</f>
        <v>7.727539969160133</v>
      </c>
      <c r="F43" s="878" t="s">
        <v>1227</v>
      </c>
    </row>
    <row r="44" spans="1:6" s="884" customFormat="1" ht="14.25" customHeight="1">
      <c r="A44" s="879" t="s">
        <v>973</v>
      </c>
      <c r="B44" s="880">
        <f>SUM(6DOCHODY!E21,6DOCHODY!E22,6DOCHODY!E30,6DOCHODY!E31,6DOCHODY!E42,6DOCHODY!E52,6DOCHODY!E53,6DOCHODY!E60,6DOCHODY!E78,6DOCHODY!E79,6DOCHODY!E89,6DOCHODY!E95,6DOCHODY!E97,6DOCHODY!E100,6DOCHODY!E119,6DOCHODY!E120,6DOCHODY!E125,6DOCHODY!E155,6DOCHODY!E192,6DOCHODY!E206,6DOCHODY!E220,6DOCHODY!E229,6DOCHODY!E237,6DOCHODY!E246,6DOCHODY!E274,6DOCHODY!E328,6DOCHODY!E371,6DOCHODY!E384,6DOCHODY!E385,6DOCHODY!E392)+6DOCHODY!E410+6DOCHODY!E411+6DOCHODY!E424+6DOCHODY!E425+6DOCHODY!E444+6DOCHODY!E449+6DOCHODY!E450+6DOCHODY!E475+6DOCHODY!E221+6DOCHODY!E364</f>
        <v>156000</v>
      </c>
      <c r="C44" s="880">
        <f>SUM(6DOCHODY!F21,6DOCHODY!F22,6DOCHODY!F30,6DOCHODY!F31,6DOCHODY!F42,6DOCHODY!F52,6DOCHODY!F53,6DOCHODY!F60,6DOCHODY!F78,6DOCHODY!F79,6DOCHODY!F89,6DOCHODY!F95,6DOCHODY!F97,6DOCHODY!F100,6DOCHODY!F119,6DOCHODY!F120,6DOCHODY!F125,6DOCHODY!F155,6DOCHODY!F192,6DOCHODY!F206,6DOCHODY!F220,6DOCHODY!F229,6DOCHODY!F237,6DOCHODY!F246,6DOCHODY!F274,6DOCHODY!F328,6DOCHODY!F371,6DOCHODY!F384,6DOCHODY!F385,6DOCHODY!F392)+6DOCHODY!F410+6DOCHODY!F411+6DOCHODY!F424+6DOCHODY!F425+6DOCHODY!F444+6DOCHODY!F449+6DOCHODY!F450+6DOCHODY!F475+6DOCHODY!F221+6DOCHODY!F364</f>
        <v>627441.97</v>
      </c>
      <c r="D44" s="881">
        <f t="shared" si="4"/>
        <v>402.206391025641</v>
      </c>
      <c r="E44" s="882">
        <f t="shared" si="5"/>
        <v>0.29116178727870196</v>
      </c>
      <c r="F44" s="883" t="s">
        <v>1138</v>
      </c>
    </row>
    <row r="45" spans="1:6" s="884" customFormat="1" ht="14.25" customHeight="1">
      <c r="A45" s="927" t="s">
        <v>1664</v>
      </c>
      <c r="B45" s="880">
        <f>SUM(6DOCHODY!E101,6DOCHODY!E110,6DOCHODY!E121,6DOCHODY!E208,6DOCHODY!E230,6DOCHODY!E322,6DOCHODY!E281,6DOCHODY!E335,6DOCHODY!E453,6DOCHODY!E476)</f>
        <v>3083514</v>
      </c>
      <c r="C45" s="880">
        <f>SUM(6DOCHODY!F101,6DOCHODY!F110,6DOCHODY!F121,6DOCHODY!F208,6DOCHODY!F230,6DOCHODY!F322,6DOCHODY!F281,6DOCHODY!F335,6DOCHODY!F453,6DOCHODY!F476)</f>
        <v>2612910.3200000003</v>
      </c>
      <c r="D45" s="881">
        <f t="shared" si="4"/>
        <v>84.7380722124174</v>
      </c>
      <c r="E45" s="882">
        <f t="shared" si="5"/>
        <v>1.2125099613119046</v>
      </c>
      <c r="F45" s="883" t="s">
        <v>1137</v>
      </c>
    </row>
    <row r="46" spans="1:6" s="928" customFormat="1" ht="14.25" customHeight="1">
      <c r="A46" s="927" t="s">
        <v>117</v>
      </c>
      <c r="B46" s="881">
        <f>SUM(6DOCHODY!E115,6DOCHODY!E297,6DOCHODY!E494)</f>
        <v>3429399</v>
      </c>
      <c r="C46" s="881">
        <f>SUM(6DOCHODY!F115,6DOCHODY!F297,6DOCHODY!F494)</f>
        <v>3446018.64</v>
      </c>
      <c r="D46" s="881">
        <f t="shared" si="4"/>
        <v>100.48462252423822</v>
      </c>
      <c r="E46" s="882">
        <f t="shared" si="5"/>
        <v>1.5991103467594332</v>
      </c>
      <c r="F46" s="883" t="s">
        <v>1809</v>
      </c>
    </row>
    <row r="47" spans="1:6" s="928" customFormat="1" ht="14.25" customHeight="1">
      <c r="A47" s="927" t="s">
        <v>37</v>
      </c>
      <c r="B47" s="881">
        <f>SUM(6DOCHODY!E580)</f>
        <v>66200</v>
      </c>
      <c r="C47" s="881">
        <f>SUM(6DOCHODY!F580)</f>
        <v>66200</v>
      </c>
      <c r="D47" s="881">
        <f t="shared" si="4"/>
        <v>100</v>
      </c>
      <c r="E47" s="882">
        <f t="shared" si="5"/>
        <v>0.030719829465424616</v>
      </c>
      <c r="F47" s="883" t="s">
        <v>1136</v>
      </c>
    </row>
    <row r="48" spans="1:6" s="884" customFormat="1" ht="13.5" customHeight="1">
      <c r="A48" s="927" t="s">
        <v>1666</v>
      </c>
      <c r="B48" s="922">
        <f>SUM(6DOCHODY!E37,6DOCHODY!E38,6DOCHODY!E46,6DOCHODY!E48,6DOCHODY!E57,6DOCHODY!E66,6DOCHODY!E92,6DOCHODY!E131,6DOCHODY!E132,6DOCHODY!E150,6DOCHODY!E159,6DOCHODY!E225,6DOCHODY!E241,6DOCHODY!E252,6DOCHODY!E267,6DOCHODY!E332,6DOCHODY!E352,6DOCHODY!E368,6DOCHODY!E376,6DOCHODY!E397,6DOCHODY!E398,6DOCHODY!E420,6DOCHODY!E428,6DOCHODY!E446,6DOCHODY!E461,6DOCHODY!E462,6DOCHODY!E530)</f>
        <v>5782601</v>
      </c>
      <c r="C48" s="922">
        <f>SUM(6DOCHODY!F37,6DOCHODY!F38,6DOCHODY!F46,6DOCHODY!F48,6DOCHODY!F57,6DOCHODY!F66,6DOCHODY!F92,6DOCHODY!F131,6DOCHODY!F132,6DOCHODY!F150,6DOCHODY!F159,6DOCHODY!F225,6DOCHODY!F241,6DOCHODY!F252,6DOCHODY!F267,6DOCHODY!F332,6DOCHODY!F352,6DOCHODY!F368,6DOCHODY!F376,6DOCHODY!F397,6DOCHODY!F398,6DOCHODY!F420,6DOCHODY!F428,6DOCHODY!F446,6DOCHODY!F461,6DOCHODY!F462,6DOCHODY!F530)</f>
        <v>7747287.97</v>
      </c>
      <c r="D48" s="881">
        <f t="shared" si="4"/>
        <v>133.97583492272767</v>
      </c>
      <c r="E48" s="882">
        <f t="shared" si="5"/>
        <v>3.595096151932563</v>
      </c>
      <c r="F48" s="883" t="s">
        <v>774</v>
      </c>
    </row>
    <row r="49" spans="1:6" s="884" customFormat="1" ht="13.5" customHeight="1">
      <c r="A49" s="927" t="s">
        <v>414</v>
      </c>
      <c r="B49" s="922">
        <f>SUM(6DOCHODY!E235,6DOCHODY!E258,6DOCHODY!E262,6DOCHODY!E266,6DOCHODY!E287,6DOCHODY!E298,6DOCHODY!E303,6DOCHODY!E308,6DOCHODY!E313,6DOCHODY!E351,6DOCHODY!E403,6DOCHODY!E408,6DOCHODY!E435,6DOCHODY!E546,6DOCHODY!E549,6DOCHODY!E553,6DOCHODY!E563,6DOCHODY!E566)</f>
        <v>205000</v>
      </c>
      <c r="C49" s="922">
        <f>SUM(6DOCHODY!F235,6DOCHODY!F258,6DOCHODY!F262,6DOCHODY!F266,6DOCHODY!F287,6DOCHODY!F298,6DOCHODY!F303,6DOCHODY!F308,6DOCHODY!F313,6DOCHODY!F351,6DOCHODY!F403,6DOCHODY!F408,6DOCHODY!F435,6DOCHODY!F546,6DOCHODY!F549,6DOCHODY!F553,6DOCHODY!F563,6DOCHODY!F566)</f>
        <v>140530.55</v>
      </c>
      <c r="D49" s="881">
        <f t="shared" si="4"/>
        <v>68.55148780487804</v>
      </c>
      <c r="E49" s="882">
        <f t="shared" si="5"/>
        <v>0.06521260620366053</v>
      </c>
      <c r="F49" s="883" t="s">
        <v>1135</v>
      </c>
    </row>
    <row r="50" spans="1:6" s="884" customFormat="1" ht="27" customHeight="1">
      <c r="A50" s="879" t="s">
        <v>1737</v>
      </c>
      <c r="B50" s="922">
        <f>6DOCHODY!E214+6DOCHODY!E234+6DOCHODY!E240+6DOCHODY!E524+6DOCHODY!E529</f>
        <v>0</v>
      </c>
      <c r="C50" s="922">
        <f>6DOCHODY!F214+6DOCHODY!F234+6DOCHODY!F240+6DOCHODY!F524+6DOCHODY!F529</f>
        <v>1639.5499999999997</v>
      </c>
      <c r="D50" s="1838" t="s">
        <v>1195</v>
      </c>
      <c r="E50" s="882">
        <f t="shared" si="5"/>
        <v>0.0007608262296078085</v>
      </c>
      <c r="F50" s="883" t="s">
        <v>1134</v>
      </c>
    </row>
    <row r="51" spans="1:6" s="884" customFormat="1" ht="27" customHeight="1">
      <c r="A51" s="879" t="s">
        <v>1133</v>
      </c>
      <c r="B51" s="922">
        <f>6DOCHODY!E71</f>
        <v>191100</v>
      </c>
      <c r="C51" s="922">
        <f>6DOCHODY!F71</f>
        <v>200000</v>
      </c>
      <c r="D51" s="881">
        <f t="shared" si="4"/>
        <v>104.65724751439036</v>
      </c>
      <c r="E51" s="882">
        <f t="shared" si="5"/>
        <v>0.09280915246351848</v>
      </c>
      <c r="F51" s="1837">
        <v>237</v>
      </c>
    </row>
    <row r="52" spans="1:6" s="884" customFormat="1" ht="13.5" customHeight="1">
      <c r="A52" s="927" t="s">
        <v>352</v>
      </c>
      <c r="B52" s="922">
        <f>SUM(6DOCHODY!E18,6DOCHODY!E28,6DOCHODY!E35,6DOCHODY!E56,6DOCHODY!E61,6DOCHODY!E85,6DOCHODY!E90,6DOCHODY!E103,6DOCHODY!E122,6DOCHODY!E126,6DOCHODY!E145,6DOCHODY!E157,6DOCHODY!E114,6DOCHODY!E212,6DOCHODY!E216,6DOCHODY!E217,6DOCHODY!E239,6DOCHODY!E244,6DOCHODY!E257,6DOCHODY!E261,6DOCHODY!E265,6DOCHODY!E277,6DOCHODY!E279,6DOCHODY!E282,6DOCHODY!E285,6DOCHODY!E288,6DOCHODY!E294,6DOCHODY!E300,6DOCHODY!E305,6DOCHODY!E310)+6DOCHODY!E316+6DOCHODY!E320+6DOCHODY!E337+6DOCHODY!E343+6DOCHODY!E366+6DOCHODY!E379+6DOCHODY!E382+6DOCHODY!E396+6DOCHODY!E402+6DOCHODY!E419+6DOCHODY!E426+6DOCHODY!E434+6DOCHODY!E457+6DOCHODY!E552+6DOCHODY!E558+6DOCHODY!E578+6DOCHODY!E609+6DOCHODY!E611+6DOCHODY!E98+6DOCHODY!E340+6DOCHODY!E211+6DOCHODY!E232+6DOCHODY!E454+6DOCHODY!E478+6DOCHODY!E570+6DOCHODY!E562+6DOCHODY!E493+6DOCHODY!E372+6DOCHODY!E418+6DOCHODY!E276+6DOCHODY!E361+6DOCHODY!E388+6DOCHODY!E535+6DOCHODY!E604</f>
        <v>3052361</v>
      </c>
      <c r="C52" s="922">
        <f>SUM(6DOCHODY!F18,6DOCHODY!F28,6DOCHODY!F35,6DOCHODY!F56,6DOCHODY!F61,6DOCHODY!F85,6DOCHODY!F90,6DOCHODY!F103,6DOCHODY!F122,6DOCHODY!F126,6DOCHODY!F145,6DOCHODY!F157,6DOCHODY!F114,6DOCHODY!F212,6DOCHODY!F216,6DOCHODY!F217,6DOCHODY!F239,6DOCHODY!F244,6DOCHODY!F257,6DOCHODY!F261,6DOCHODY!F265,6DOCHODY!F277,6DOCHODY!F279,6DOCHODY!F282,6DOCHODY!F285,6DOCHODY!F288,6DOCHODY!F294,6DOCHODY!F300,6DOCHODY!F305,6DOCHODY!F310)+6DOCHODY!F316+6DOCHODY!F320+6DOCHODY!F337+6DOCHODY!F343+6DOCHODY!F366+6DOCHODY!F379+6DOCHODY!F382+6DOCHODY!F396+6DOCHODY!F402+6DOCHODY!F419+6DOCHODY!F426+6DOCHODY!F434+6DOCHODY!F457+6DOCHODY!F552+6DOCHODY!F558+6DOCHODY!F578+6DOCHODY!F609+6DOCHODY!F611+6DOCHODY!F98+6DOCHODY!F340+6DOCHODY!F211+6DOCHODY!F232+6DOCHODY!F454+6DOCHODY!F478+6DOCHODY!F570+6DOCHODY!F562+6DOCHODY!F493+6DOCHODY!F372+6DOCHODY!F418+6DOCHODY!F276+6DOCHODY!F361+6DOCHODY!F388+6DOCHODY!F535+6DOCHODY!F604</f>
        <v>1810509.6000000003</v>
      </c>
      <c r="D52" s="881">
        <f t="shared" si="4"/>
        <v>59.31505480511644</v>
      </c>
      <c r="E52" s="882">
        <f t="shared" si="5"/>
        <v>0.8401593075153195</v>
      </c>
      <c r="F52" s="883"/>
    </row>
    <row r="53" spans="1:6" s="931" customFormat="1" ht="13.5" customHeight="1">
      <c r="A53" s="929"/>
      <c r="B53" s="930"/>
      <c r="C53" s="930"/>
      <c r="D53" s="887"/>
      <c r="E53" s="888"/>
      <c r="F53" s="878"/>
    </row>
    <row r="54" spans="1:6" s="894" customFormat="1" ht="12.75">
      <c r="A54" s="932" t="s">
        <v>243</v>
      </c>
      <c r="B54" s="912">
        <f>SUM(B55,B56,B60,B61)</f>
        <v>60510145</v>
      </c>
      <c r="C54" s="912">
        <f>SUM(C55,C56,C60,C61)</f>
        <v>60510145</v>
      </c>
      <c r="D54" s="913">
        <f aca="true" t="shared" si="6" ref="D54:D61">C54/B54*100</f>
        <v>100</v>
      </c>
      <c r="E54" s="914">
        <f aca="true" t="shared" si="7" ref="E54:E61">C54/$C$84*100</f>
        <v>28.079476364473056</v>
      </c>
      <c r="F54" s="893"/>
    </row>
    <row r="55" spans="1:6" s="877" customFormat="1" ht="12.75">
      <c r="A55" s="933" t="s">
        <v>1667</v>
      </c>
      <c r="B55" s="916">
        <f>SUM(6DOCHODY!E202,6DOCHODY!E517)</f>
        <v>34701198</v>
      </c>
      <c r="C55" s="916">
        <f>SUM(6DOCHODY!F202,6DOCHODY!F517)</f>
        <v>34701198</v>
      </c>
      <c r="D55" s="917">
        <f t="shared" si="6"/>
        <v>100</v>
      </c>
      <c r="E55" s="918">
        <f t="shared" si="7"/>
        <v>16.102943879243714</v>
      </c>
      <c r="F55" s="878"/>
    </row>
    <row r="56" spans="1:6" s="877" customFormat="1" ht="12.75">
      <c r="A56" s="933" t="s">
        <v>1668</v>
      </c>
      <c r="B56" s="916">
        <f>SUM(B57,B58,B59)</f>
        <v>22000000</v>
      </c>
      <c r="C56" s="916">
        <f>SUM(C57,C58,C59)</f>
        <v>22000000</v>
      </c>
      <c r="D56" s="917">
        <f t="shared" si="6"/>
        <v>100</v>
      </c>
      <c r="E56" s="918">
        <f t="shared" si="7"/>
        <v>10.209006770987033</v>
      </c>
      <c r="F56" s="878"/>
    </row>
    <row r="57" spans="1:6" s="937" customFormat="1" ht="15" customHeight="1">
      <c r="A57" s="934" t="s">
        <v>915</v>
      </c>
      <c r="B57" s="935">
        <f>SUM(6DOCHODY!E519)</f>
        <v>22000000</v>
      </c>
      <c r="C57" s="935">
        <f>SUM(6DOCHODY!F519)</f>
        <v>22000000</v>
      </c>
      <c r="D57" s="887">
        <f t="shared" si="6"/>
        <v>100</v>
      </c>
      <c r="E57" s="888">
        <f t="shared" si="7"/>
        <v>10.209006770987033</v>
      </c>
      <c r="F57" s="936"/>
    </row>
    <row r="58" spans="1:6" s="937" customFormat="1" ht="15" customHeight="1">
      <c r="A58" s="934" t="s">
        <v>1401</v>
      </c>
      <c r="B58" s="935">
        <f>SUM(6DOCHODY!E204)</f>
        <v>0</v>
      </c>
      <c r="C58" s="935">
        <f>SUM(6DOCHODY!F204)</f>
        <v>0</v>
      </c>
      <c r="D58" s="921" t="s">
        <v>1195</v>
      </c>
      <c r="E58" s="888">
        <f t="shared" si="7"/>
        <v>0</v>
      </c>
      <c r="F58" s="936"/>
    </row>
    <row r="59" spans="1:6" s="937" customFormat="1" ht="15" customHeight="1" hidden="1">
      <c r="A59" s="934" t="s">
        <v>916</v>
      </c>
      <c r="B59" s="935">
        <f>SUM(6DOCHODY!E520)</f>
        <v>0</v>
      </c>
      <c r="C59" s="935">
        <f>SUM(6DOCHODY!F520)</f>
        <v>0</v>
      </c>
      <c r="D59" s="887" t="e">
        <f t="shared" si="6"/>
        <v>#DIV/0!</v>
      </c>
      <c r="E59" s="888">
        <f t="shared" si="7"/>
        <v>0</v>
      </c>
      <c r="F59" s="936"/>
    </row>
    <row r="60" spans="1:6" s="937" customFormat="1" ht="12.75">
      <c r="A60" s="938" t="s">
        <v>600</v>
      </c>
      <c r="B60" s="939">
        <f>SUM(6DOCHODY!E525)</f>
        <v>3808947</v>
      </c>
      <c r="C60" s="939">
        <f>SUM(6DOCHODY!F525)</f>
        <v>3808947</v>
      </c>
      <c r="D60" s="917">
        <f t="shared" si="6"/>
        <v>100</v>
      </c>
      <c r="E60" s="918">
        <f t="shared" si="7"/>
        <v>1.7675257142423066</v>
      </c>
      <c r="F60" s="878"/>
    </row>
    <row r="61" spans="1:6" s="937" customFormat="1" ht="12.75" customHeight="1" hidden="1">
      <c r="A61" s="938" t="s">
        <v>914</v>
      </c>
      <c r="B61" s="940">
        <f>6DOCHODY!E522</f>
        <v>0</v>
      </c>
      <c r="C61" s="940">
        <f>6DOCHODY!F522</f>
        <v>0</v>
      </c>
      <c r="D61" s="917" t="e">
        <f t="shared" si="6"/>
        <v>#DIV/0!</v>
      </c>
      <c r="E61" s="918">
        <f t="shared" si="7"/>
        <v>0</v>
      </c>
      <c r="F61" s="878"/>
    </row>
    <row r="62" spans="1:6" s="937" customFormat="1" ht="11.25" customHeight="1">
      <c r="A62" s="938"/>
      <c r="B62" s="939"/>
      <c r="C62" s="939"/>
      <c r="D62" s="917"/>
      <c r="E62" s="918"/>
      <c r="F62" s="936"/>
    </row>
    <row r="63" spans="1:6" s="937" customFormat="1" ht="12.75">
      <c r="A63" s="941" t="s">
        <v>36</v>
      </c>
      <c r="B63" s="942">
        <f>SUM(B64,B68,B72,B76,B80)</f>
        <v>24098184.560000002</v>
      </c>
      <c r="C63" s="942">
        <f>SUM(C64,C68,C72,C76,C80)</f>
        <v>24405344.559999995</v>
      </c>
      <c r="D63" s="913">
        <f>C63/B63*100</f>
        <v>101.27461883792623</v>
      </c>
      <c r="E63" s="914">
        <f>C63/$C$84*100</f>
        <v>11.325196720968703</v>
      </c>
      <c r="F63" s="936"/>
    </row>
    <row r="64" spans="1:6" s="894" customFormat="1" ht="25.5">
      <c r="A64" s="943" t="s">
        <v>452</v>
      </c>
      <c r="B64" s="916">
        <f>B66+B65</f>
        <v>6919310.99</v>
      </c>
      <c r="C64" s="916">
        <f>C66+C65</f>
        <v>6788615.33</v>
      </c>
      <c r="D64" s="917">
        <f>C64/B64*100</f>
        <v>98.11114632383361</v>
      </c>
      <c r="E64" s="918">
        <f>C64/$C$84*100</f>
        <v>3.1502281758907444</v>
      </c>
      <c r="F64" s="893"/>
    </row>
    <row r="65" spans="1:6" s="937" customFormat="1" ht="12.75">
      <c r="A65" s="934" t="s">
        <v>1670</v>
      </c>
      <c r="B65" s="935">
        <f>SUM(6DOCHODY!E40,6DOCHODY!E68,6DOCHODY!E213,6DOCHODY!E215,6DOCHODY!E222,6DOCHODY!E227,6DOCHODY!E251,6DOCHODY!E233,6DOCHODY!E253,6DOCHODY!E290,6DOCHODY!E302,6DOCHODY!E307,6DOCHODY!E312,6DOCHODY!E318,6DOCHODY!E331,6DOCHODY!E338,6DOCHODY!E357,6DOCHODY!E358,6DOCHODY!E431)</f>
        <v>6767954</v>
      </c>
      <c r="C65" s="935">
        <f>SUM(6DOCHODY!F40,6DOCHODY!F68,6DOCHODY!F213,6DOCHODY!F215,6DOCHODY!F222,6DOCHODY!F227,6DOCHODY!F251,6DOCHODY!F233,6DOCHODY!F253,6DOCHODY!F290,6DOCHODY!F302,6DOCHODY!F307,6DOCHODY!F312,6DOCHODY!F318,6DOCHODY!F331,6DOCHODY!F338,6DOCHODY!F357,6DOCHODY!F358,6DOCHODY!F431)</f>
        <v>6638708.8</v>
      </c>
      <c r="D65" s="887">
        <f>C65/B65*100</f>
        <v>98.0903357203669</v>
      </c>
      <c r="E65" s="888">
        <f>C65/$C$84*100</f>
        <v>3.080664685900509</v>
      </c>
      <c r="F65" s="878"/>
    </row>
    <row r="66" spans="1:6" s="877" customFormat="1" ht="12.75">
      <c r="A66" s="890" t="s">
        <v>1669</v>
      </c>
      <c r="B66" s="891">
        <f>SUM(6DOCHODY!E466,6DOCHODY!E541,6DOCHODY!E542,6DOCHODY!E560,6DOCHODY!E568,6DOCHODY!E571,6DOCHODY!E594,6DOCHODY!E596,6DOCHODY!E598,6DOCHODY!E605,6DOCHODY!E606)</f>
        <v>151356.99</v>
      </c>
      <c r="C66" s="891">
        <f>SUM(6DOCHODY!F466,6DOCHODY!F541,6DOCHODY!F542,6DOCHODY!F560,6DOCHODY!F568,6DOCHODY!F571,6DOCHODY!F594,6DOCHODY!F596,6DOCHODY!F598,6DOCHODY!F605,6DOCHODY!F606)</f>
        <v>149906.53</v>
      </c>
      <c r="D66" s="887">
        <f>C66/B66*100</f>
        <v>99.04169605909843</v>
      </c>
      <c r="E66" s="888">
        <f>C66/$C$84*100</f>
        <v>0.06956348999023504</v>
      </c>
      <c r="F66" s="878"/>
    </row>
    <row r="67" spans="1:6" s="937" customFormat="1" ht="12.75">
      <c r="A67" s="938"/>
      <c r="B67" s="939"/>
      <c r="C67" s="939"/>
      <c r="D67" s="917"/>
      <c r="E67" s="918"/>
      <c r="F67" s="936"/>
    </row>
    <row r="68" spans="1:6" s="945" customFormat="1" ht="27" customHeight="1">
      <c r="A68" s="943" t="s">
        <v>453</v>
      </c>
      <c r="B68" s="939">
        <f>SUM(B70,B69)</f>
        <v>13126254.57</v>
      </c>
      <c r="C68" s="939">
        <f>SUM(C70,C69)</f>
        <v>12881149.579999998</v>
      </c>
      <c r="D68" s="917">
        <f>C68/B68*100</f>
        <v>98.13271189665795</v>
      </c>
      <c r="E68" s="918">
        <f>C68/$C$84*100</f>
        <v>5.977442876378034</v>
      </c>
      <c r="F68" s="944"/>
    </row>
    <row r="69" spans="1:7" s="877" customFormat="1" ht="12.75">
      <c r="A69" s="934" t="s">
        <v>1673</v>
      </c>
      <c r="B69" s="891">
        <f>SUM(6DOCHODY!E10,6DOCHODY!E86,6DOCHODY!E106,6DOCHODY!E117,6DOCHODY!E138,6DOCHODY!E140,6DOCHODY!E142,6DOCHODY!E153,6DOCHODY!E249,6DOCHODY!E270,6DOCHODY!E283,6DOCHODY!E296,6DOCHODY!E301,6DOCHODY!E306,6DOCHODY!E317,6DOCHODY!E324,6DOCHODY!E326,6DOCHODY!E330)</f>
        <v>6683387.57</v>
      </c>
      <c r="C69" s="891">
        <f>SUM(6DOCHODY!F10,6DOCHODY!F86,6DOCHODY!F106,6DOCHODY!F117,6DOCHODY!F138,6DOCHODY!F140,6DOCHODY!F142,6DOCHODY!F153,6DOCHODY!F249,6DOCHODY!F270,6DOCHODY!F283,6DOCHODY!F296,6DOCHODY!F301,6DOCHODY!F306,6DOCHODY!F317,6DOCHODY!F324,6DOCHODY!F326,6DOCHODY!F330)</f>
        <v>6485785.619999999</v>
      </c>
      <c r="D69" s="887">
        <f>C69/B69*100</f>
        <v>97.04338633768621</v>
      </c>
      <c r="E69" s="888">
        <f>C69/$C$84*100</f>
        <v>3.0097013322613786</v>
      </c>
      <c r="F69" s="878"/>
      <c r="G69" s="919">
        <f>SUM(B64+B68+B72)</f>
        <v>20108992.560000002</v>
      </c>
    </row>
    <row r="70" spans="1:9" s="877" customFormat="1" ht="12.75">
      <c r="A70" s="890" t="s">
        <v>1672</v>
      </c>
      <c r="B70" s="891">
        <f>SUM(6DOCHODY!E441,6DOCHODY!E469,6DOCHODY!E470,6DOCHODY!E473,6DOCHODY!E479,6DOCHODY!E482,6DOCHODY!E483,6DOCHODY!E485,6DOCHODY!E488,6DOCHODY!E496,6DOCHODY!E500,6DOCHODY!E501,6DOCHODY!E503,6DOCHODY!E548,6DOCHODY!E555,6DOCHODY!E565,6DOCHODY!E576,6DOCHODY!E582)</f>
        <v>6442867</v>
      </c>
      <c r="C70" s="891">
        <f>SUM(6DOCHODY!F441,6DOCHODY!F469,6DOCHODY!F470,6DOCHODY!F473,6DOCHODY!F479,6DOCHODY!F482,6DOCHODY!F483,6DOCHODY!F485,6DOCHODY!F488,6DOCHODY!F496,6DOCHODY!F500,6DOCHODY!F501,6DOCHODY!F503,6DOCHODY!F548,6DOCHODY!F555,6DOCHODY!F565,6DOCHODY!F576,6DOCHODY!F582)</f>
        <v>6395363.96</v>
      </c>
      <c r="D70" s="887">
        <f>C70/B70*100</f>
        <v>99.26270338965557</v>
      </c>
      <c r="E70" s="888">
        <f>C70/$C$84*100</f>
        <v>2.967741544116657</v>
      </c>
      <c r="F70" s="878"/>
      <c r="G70" s="919">
        <f>6683387.57+23078+3141600+91504+6441267+40349+22331.99+1600+129025+63850+3471000</f>
        <v>20108992.560000002</v>
      </c>
      <c r="I70" s="877" t="s">
        <v>149</v>
      </c>
    </row>
    <row r="71" spans="1:6" s="877" customFormat="1" ht="12.75">
      <c r="A71" s="933"/>
      <c r="B71" s="916"/>
      <c r="C71" s="916"/>
      <c r="D71" s="917"/>
      <c r="E71" s="918"/>
      <c r="F71" s="878"/>
    </row>
    <row r="72" spans="1:6" s="894" customFormat="1" ht="27.75" customHeight="1">
      <c r="A72" s="943" t="s">
        <v>454</v>
      </c>
      <c r="B72" s="916">
        <f>B74+B73</f>
        <v>63427</v>
      </c>
      <c r="C72" s="916">
        <f>C74+C73</f>
        <v>55587</v>
      </c>
      <c r="D72" s="917">
        <f>C72/B72*100</f>
        <v>87.63933340690872</v>
      </c>
      <c r="E72" s="918">
        <f>C72/$C$84*100</f>
        <v>0.02579491178994801</v>
      </c>
      <c r="F72" s="893"/>
    </row>
    <row r="73" spans="1:6" s="877" customFormat="1" ht="12.75">
      <c r="A73" s="934" t="s">
        <v>1673</v>
      </c>
      <c r="B73" s="891">
        <f>SUM(6DOCHODY!E87,6DOCHODY!E91,6DOCHODY!E250,6DOCHODY!E271,6DOCHODY!E329,6DOCHODY!E356)</f>
        <v>23078</v>
      </c>
      <c r="C73" s="891">
        <f>SUM(6DOCHODY!F87,6DOCHODY!F91,6DOCHODY!F250,6DOCHODY!F271,6DOCHODY!F329,6DOCHODY!F356)</f>
        <v>15426</v>
      </c>
      <c r="D73" s="887">
        <f>C73/B73*100</f>
        <v>66.84288066556894</v>
      </c>
      <c r="E73" s="888">
        <f>C73/$C$84*100</f>
        <v>0.00715836992951118</v>
      </c>
      <c r="F73" s="878"/>
    </row>
    <row r="74" spans="1:6" s="877" customFormat="1" ht="12.75">
      <c r="A74" s="890" t="s">
        <v>1672</v>
      </c>
      <c r="B74" s="891">
        <f>SUM(6DOCHODY!E464,6DOCHODY!E497,6DOCHODY!E559,6DOCHODY!E573)</f>
        <v>40349</v>
      </c>
      <c r="C74" s="891">
        <f>SUM(6DOCHODY!F464,6DOCHODY!F497,6DOCHODY!F559,6DOCHODY!F573)</f>
        <v>40161</v>
      </c>
      <c r="D74" s="887">
        <f>C74/B74*100</f>
        <v>99.53406528042827</v>
      </c>
      <c r="E74" s="888">
        <f>C74/$C$84*100</f>
        <v>0.01863654186043683</v>
      </c>
      <c r="F74" s="878"/>
    </row>
    <row r="75" spans="1:6" s="877" customFormat="1" ht="12.75">
      <c r="A75" s="934"/>
      <c r="B75" s="891"/>
      <c r="C75" s="891"/>
      <c r="D75" s="887"/>
      <c r="E75" s="888"/>
      <c r="F75" s="878"/>
    </row>
    <row r="76" spans="1:6" s="894" customFormat="1" ht="38.25">
      <c r="A76" s="943" t="s">
        <v>1690</v>
      </c>
      <c r="B76" s="916">
        <f>SUM(B78,B77)</f>
        <v>125000</v>
      </c>
      <c r="C76" s="916">
        <f>SUM(C78,C77)</f>
        <v>125000</v>
      </c>
      <c r="D76" s="917">
        <f>C76/B76*100</f>
        <v>100</v>
      </c>
      <c r="E76" s="918">
        <f>C76/$C$84*100</f>
        <v>0.058005720289699046</v>
      </c>
      <c r="F76" s="893"/>
    </row>
    <row r="77" spans="1:6" s="877" customFormat="1" ht="12.75">
      <c r="A77" s="890" t="s">
        <v>1673</v>
      </c>
      <c r="B77" s="891">
        <f>SUM(6DOCHODY!E123,6DOCHODY!E405)</f>
        <v>125000</v>
      </c>
      <c r="C77" s="891">
        <f>SUM(6DOCHODY!F123,6DOCHODY!F405)</f>
        <v>125000</v>
      </c>
      <c r="D77" s="887">
        <f>C77/B77*100</f>
        <v>100</v>
      </c>
      <c r="E77" s="888">
        <f>C77/$C$84*100</f>
        <v>0.058005720289699046</v>
      </c>
      <c r="F77" s="1839" t="s">
        <v>528</v>
      </c>
    </row>
    <row r="78" spans="1:6" s="877" customFormat="1" ht="12.75">
      <c r="A78" s="890" t="s">
        <v>1672</v>
      </c>
      <c r="B78" s="891">
        <f>SUM(6DOCHODY!E561,6DOCHODY!E599,6DOCHODY!E601)</f>
        <v>0</v>
      </c>
      <c r="C78" s="891">
        <f>SUM(6DOCHODY!F561,6DOCHODY!F599,6DOCHODY!F601)</f>
        <v>0</v>
      </c>
      <c r="D78" s="921" t="s">
        <v>1195</v>
      </c>
      <c r="E78" s="888">
        <f>C78/$C$84*100</f>
        <v>0</v>
      </c>
      <c r="F78" s="878"/>
    </row>
    <row r="79" spans="1:6" s="877" customFormat="1" ht="12.75">
      <c r="A79" s="890"/>
      <c r="B79" s="891"/>
      <c r="C79" s="891"/>
      <c r="D79" s="921"/>
      <c r="E79" s="888"/>
      <c r="F79" s="878"/>
    </row>
    <row r="80" spans="1:6" s="894" customFormat="1" ht="25.5">
      <c r="A80" s="943" t="s">
        <v>1691</v>
      </c>
      <c r="B80" s="916">
        <f>SUM(B82,B81)</f>
        <v>3864192</v>
      </c>
      <c r="C80" s="916">
        <f>SUM(C82,C81)</f>
        <v>4554992.65</v>
      </c>
      <c r="D80" s="917">
        <f>C80/B80*100</f>
        <v>117.87697531592633</v>
      </c>
      <c r="E80" s="918">
        <f>C80/$C$84*100</f>
        <v>2.1137250366202807</v>
      </c>
      <c r="F80" s="893"/>
    </row>
    <row r="81" spans="1:7" s="877" customFormat="1" ht="12.75">
      <c r="A81" s="890" t="s">
        <v>1673</v>
      </c>
      <c r="B81" s="891">
        <f>SUM(6DOCHODY!E62,6DOCHODY!E64,6DOCHODY!E72,6DOCHODY!E74,6DOCHODY!E127,6DOCHODY!E129,6DOCHODY!E134,6DOCHODY!E146,6DOCHODY!E148,6DOCHODY!E223,6DOCHODY!E345,6DOCHODY!E347,6DOCHODY!E349,6DOCHODY!E369,6DOCHODY!E373,6DOCHODY!E375,6DOCHODY!E412,6DOCHODY!E414,6DOCHODY!E421,6DOCHODY!E427)</f>
        <v>2296968</v>
      </c>
      <c r="C81" s="891">
        <f>SUM(6DOCHODY!F62,6DOCHODY!F64,6DOCHODY!F72,6DOCHODY!F74,6DOCHODY!F127,6DOCHODY!F129,6DOCHODY!F134,6DOCHODY!F146,6DOCHODY!F148,6DOCHODY!F223,6DOCHODY!F345,6DOCHODY!F347,6DOCHODY!F349,6DOCHODY!F369,6DOCHODY!F373,6DOCHODY!F375,6DOCHODY!F412,6DOCHODY!F414,6DOCHODY!F421,6DOCHODY!F427)</f>
        <v>2853992.35</v>
      </c>
      <c r="D81" s="887">
        <f>C81/B81*100</f>
        <v>124.2504183776178</v>
      </c>
      <c r="E81" s="888">
        <f>C81/$C$84*100</f>
        <v>1.324383055704327</v>
      </c>
      <c r="F81" s="1839" t="s">
        <v>527</v>
      </c>
      <c r="G81" s="919">
        <f>SUM(389027+23066+20000+2292980+1009290+129829)</f>
        <v>3864192</v>
      </c>
    </row>
    <row r="82" spans="1:7" s="877" customFormat="1" ht="12.75">
      <c r="A82" s="890" t="s">
        <v>1672</v>
      </c>
      <c r="B82" s="891">
        <f>SUM(6DOCHODY!E459,6DOCHODY!E480,6DOCHODY!E505,6DOCHODY!E536,6DOCHODY!E538,6DOCHODY!E584,6DOCHODY!E586,6DOCHODY!E588,6DOCHODY!E590,6DOCHODY!E606)</f>
        <v>1567224</v>
      </c>
      <c r="C82" s="891">
        <f>SUM(6DOCHODY!F459,6DOCHODY!F480,6DOCHODY!F505,6DOCHODY!F536,6DOCHODY!F538,6DOCHODY!F584,6DOCHODY!F586,6DOCHODY!F588,6DOCHODY!F590,6DOCHODY!F606)</f>
        <v>1701000.3</v>
      </c>
      <c r="D82" s="946">
        <f>C82/B82*100</f>
        <v>108.53587617341236</v>
      </c>
      <c r="E82" s="888">
        <f>C82/$C$84*100</f>
        <v>0.7893419809159533</v>
      </c>
      <c r="F82" s="878"/>
      <c r="G82" s="919">
        <f>SUM(B80)</f>
        <v>3864192</v>
      </c>
    </row>
    <row r="83" spans="1:7" s="877" customFormat="1" ht="13.5" thickBot="1">
      <c r="A83" s="915"/>
      <c r="B83" s="916"/>
      <c r="C83" s="916"/>
      <c r="D83" s="947"/>
      <c r="E83" s="918"/>
      <c r="F83" s="878"/>
      <c r="G83" s="919">
        <f>SUM(G81-G82)</f>
        <v>0</v>
      </c>
    </row>
    <row r="84" spans="1:6" s="953" customFormat="1" ht="23.25" customHeight="1" thickBot="1">
      <c r="A84" s="948" t="s">
        <v>1665</v>
      </c>
      <c r="B84" s="949">
        <f>SUM(B8,B54,B63)</f>
        <v>220041184.56</v>
      </c>
      <c r="C84" s="2212">
        <f>SUM(C8,C54,C63)</f>
        <v>215495987.94</v>
      </c>
      <c r="D84" s="950">
        <f>C84/B84*100</f>
        <v>97.93438822414599</v>
      </c>
      <c r="E84" s="951">
        <f>C84/$C$84*100</f>
        <v>100</v>
      </c>
      <c r="F84" s="952"/>
    </row>
    <row r="85" spans="1:6" s="877" customFormat="1" ht="12.75" hidden="1">
      <c r="A85" s="876" t="s">
        <v>83</v>
      </c>
      <c r="B85" s="583">
        <v>220874066.78</v>
      </c>
      <c r="C85" s="583">
        <v>215384427.27</v>
      </c>
      <c r="F85" s="878"/>
    </row>
    <row r="86" spans="1:6" s="894" customFormat="1" ht="12.75" hidden="1">
      <c r="A86" s="954" t="s">
        <v>1663</v>
      </c>
      <c r="B86" s="955">
        <f>B85-B84</f>
        <v>832882.2199999988</v>
      </c>
      <c r="C86" s="955">
        <f>C85-C84</f>
        <v>-111560.66999998689</v>
      </c>
      <c r="F86" s="893"/>
    </row>
    <row r="87" spans="1:6" s="877" customFormat="1" ht="12.75">
      <c r="A87" s="956"/>
      <c r="B87" s="956"/>
      <c r="C87" s="957"/>
      <c r="F87" s="958"/>
    </row>
    <row r="129" s="474" customFormat="1" ht="12.75">
      <c r="F129" s="473"/>
    </row>
    <row r="130" s="474" customFormat="1" ht="12.75" customHeight="1">
      <c r="F130" s="473"/>
    </row>
    <row r="185" s="474" customFormat="1" ht="12.75">
      <c r="F185" s="473"/>
    </row>
    <row r="186" s="474" customFormat="1" ht="12.75" customHeight="1">
      <c r="F186" s="473"/>
    </row>
  </sheetData>
  <sheetProtection password="CF53" sheet="1" formatRows="0" insertColumns="0" insertRows="0" insertHyperlinks="0" deleteColumns="0" deleteRows="0" sort="0" autoFilter="0" pivotTables="0"/>
  <mergeCells count="2">
    <mergeCell ref="D1:E1"/>
    <mergeCell ref="A3:E3"/>
  </mergeCells>
  <printOptions/>
  <pageMargins left="0.75" right="0.75" top="1" bottom="1" header="0.5" footer="0.5"/>
  <pageSetup horizontalDpi="600" verticalDpi="600" orientation="portrait" paperSize="9" scale="82" r:id="rId1"/>
  <rowBreaks count="1" manualBreakCount="1">
    <brk id="62" max="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J938"/>
  <sheetViews>
    <sheetView view="pageBreakPreview" zoomScale="110" zoomScaleSheetLayoutView="110" zoomScalePageLayoutView="0" workbookViewId="0" topLeftCell="A1">
      <pane ySplit="6" topLeftCell="A32" activePane="bottomLeft" state="frozen"/>
      <selection pane="topLeft" activeCell="I244" sqref="I244"/>
      <selection pane="bottomLeft" activeCell="I9" sqref="I9"/>
    </sheetView>
  </sheetViews>
  <sheetFormatPr defaultColWidth="9.00390625" defaultRowHeight="18.75" customHeight="1"/>
  <cols>
    <col min="1" max="1" width="5.25390625" style="15" customWidth="1"/>
    <col min="2" max="2" width="8.00390625" style="15" customWidth="1"/>
    <col min="3" max="3" width="39.25390625" style="16" customWidth="1"/>
    <col min="4" max="4" width="14.75390625" style="17" customWidth="1"/>
    <col min="5" max="5" width="13.875" style="17" customWidth="1"/>
    <col min="6" max="6" width="5.75390625" style="17" customWidth="1"/>
    <col min="7" max="7" width="13.00390625" style="5" customWidth="1"/>
    <col min="8" max="8" width="13.625" style="1" customWidth="1"/>
    <col min="9" max="12" width="9.125" style="17" customWidth="1"/>
    <col min="13" max="13" width="8.625" style="17" customWidth="1"/>
    <col min="14" max="16384" width="9.125" style="17" customWidth="1"/>
  </cols>
  <sheetData>
    <row r="1" spans="1:8" s="110" customFormat="1" ht="18.75" customHeight="1">
      <c r="A1" s="959"/>
      <c r="B1" s="959"/>
      <c r="C1" s="960"/>
      <c r="E1" s="2008" t="s">
        <v>1432</v>
      </c>
      <c r="F1" s="2008"/>
      <c r="G1" s="96"/>
      <c r="H1" s="97"/>
    </row>
    <row r="2" spans="1:8" s="110" customFormat="1" ht="21.75" customHeight="1">
      <c r="A2" s="959"/>
      <c r="B2" s="959"/>
      <c r="C2" s="960"/>
      <c r="G2" s="96"/>
      <c r="H2" s="97"/>
    </row>
    <row r="3" spans="1:8" s="961" customFormat="1" ht="18.75" customHeight="1">
      <c r="A3" s="1967" t="s">
        <v>1182</v>
      </c>
      <c r="B3" s="1967"/>
      <c r="C3" s="1967"/>
      <c r="D3" s="1967"/>
      <c r="E3" s="1967"/>
      <c r="G3" s="96"/>
      <c r="H3" s="98"/>
    </row>
    <row r="4" spans="1:8" s="961" customFormat="1" ht="13.5" customHeight="1" thickBot="1">
      <c r="A4" s="962"/>
      <c r="B4" s="962"/>
      <c r="C4" s="963"/>
      <c r="D4" s="962"/>
      <c r="E4" s="962"/>
      <c r="F4" s="604" t="s">
        <v>208</v>
      </c>
      <c r="G4" s="96"/>
      <c r="H4" s="98"/>
    </row>
    <row r="5" spans="1:8" s="961" customFormat="1" ht="18.75" customHeight="1">
      <c r="A5" s="964" t="s">
        <v>1695</v>
      </c>
      <c r="B5" s="965" t="s">
        <v>209</v>
      </c>
      <c r="C5" s="965" t="s">
        <v>210</v>
      </c>
      <c r="D5" s="966" t="s">
        <v>211</v>
      </c>
      <c r="E5" s="966" t="s">
        <v>212</v>
      </c>
      <c r="F5" s="967" t="s">
        <v>213</v>
      </c>
      <c r="G5" s="96"/>
      <c r="H5" s="98"/>
    </row>
    <row r="6" spans="1:8" s="623" customFormat="1" ht="11.25" customHeight="1" thickBot="1">
      <c r="A6" s="619">
        <v>1</v>
      </c>
      <c r="B6" s="620">
        <v>2</v>
      </c>
      <c r="C6" s="620">
        <v>3</v>
      </c>
      <c r="D6" s="572">
        <v>4</v>
      </c>
      <c r="E6" s="572">
        <v>5</v>
      </c>
      <c r="F6" s="573">
        <v>6</v>
      </c>
      <c r="G6" s="96"/>
      <c r="H6" s="96"/>
    </row>
    <row r="7" spans="1:6" s="96" customFormat="1" ht="19.5" customHeight="1">
      <c r="A7" s="2009" t="s">
        <v>944</v>
      </c>
      <c r="B7" s="2010"/>
      <c r="C7" s="2010"/>
      <c r="D7" s="104">
        <f>SUM(D8,D21,D26,D31,D39,D59,D70,D90,D106,D153,D170,D177,D213,D219,D228,D236,D301,D341,D420,D440,D473,D522,D557)</f>
        <v>156373374.57</v>
      </c>
      <c r="E7" s="2185">
        <f>SUM(E8,E21,E26,E31,E39,E59,E70,E90,E106,E153,E170,E177,E213,E219,E228,E236,E301,E341,E420,E440,E473,E522,E557)</f>
        <v>142127587.89</v>
      </c>
      <c r="F7" s="111">
        <f>E7/D7*100</f>
        <v>90.88988984270917</v>
      </c>
    </row>
    <row r="8" spans="1:7" s="118" customFormat="1" ht="18.75" customHeight="1">
      <c r="A8" s="112" t="s">
        <v>214</v>
      </c>
      <c r="B8" s="113"/>
      <c r="C8" s="114" t="s">
        <v>1696</v>
      </c>
      <c r="D8" s="115">
        <f>SUM(D9,D14,D17)</f>
        <v>264023.57</v>
      </c>
      <c r="E8" s="115">
        <f>SUM(E9,E14,E17)</f>
        <v>144505.93</v>
      </c>
      <c r="F8" s="116">
        <f>E8/D8*100</f>
        <v>54.73220818883707</v>
      </c>
      <c r="G8" s="117"/>
    </row>
    <row r="9" spans="1:7" s="125" customFormat="1" ht="18.75" customHeight="1">
      <c r="A9" s="119"/>
      <c r="B9" s="120" t="s">
        <v>1697</v>
      </c>
      <c r="C9" s="121" t="s">
        <v>1698</v>
      </c>
      <c r="D9" s="122">
        <f>D10</f>
        <v>220000</v>
      </c>
      <c r="E9" s="122">
        <f>E10</f>
        <v>106019.82</v>
      </c>
      <c r="F9" s="123">
        <f aca="true" t="shared" si="0" ref="F9:F27">E9/D9*100</f>
        <v>48.190827272727276</v>
      </c>
      <c r="G9" s="124"/>
    </row>
    <row r="10" spans="1:7" s="132" customFormat="1" ht="18.75" customHeight="1">
      <c r="A10" s="126"/>
      <c r="B10" s="127"/>
      <c r="C10" s="128" t="s">
        <v>1235</v>
      </c>
      <c r="D10" s="129">
        <f>SUM(D11)</f>
        <v>220000</v>
      </c>
      <c r="E10" s="129">
        <f>SUM(E11)</f>
        <v>106019.82</v>
      </c>
      <c r="F10" s="130">
        <f t="shared" si="0"/>
        <v>48.190827272727276</v>
      </c>
      <c r="G10" s="131"/>
    </row>
    <row r="11" spans="1:7" s="139" customFormat="1" ht="18" customHeight="1">
      <c r="A11" s="133"/>
      <c r="B11" s="134"/>
      <c r="C11" s="135" t="s">
        <v>1582</v>
      </c>
      <c r="D11" s="136">
        <f>SUM(D12,D13)</f>
        <v>220000</v>
      </c>
      <c r="E11" s="136">
        <f>SUM(E12,E13)</f>
        <v>106019.82</v>
      </c>
      <c r="F11" s="137">
        <f>E11/D11*100</f>
        <v>48.190827272727276</v>
      </c>
      <c r="G11" s="138"/>
    </row>
    <row r="12" spans="1:7" s="145" customFormat="1" ht="18.75" customHeight="1" hidden="1">
      <c r="A12" s="140"/>
      <c r="B12" s="141"/>
      <c r="C12" s="142" t="s">
        <v>1714</v>
      </c>
      <c r="D12" s="143">
        <v>0</v>
      </c>
      <c r="E12" s="143">
        <v>0</v>
      </c>
      <c r="F12" s="144" t="e">
        <f>E12/D12*100</f>
        <v>#DIV/0!</v>
      </c>
      <c r="G12" s="138"/>
    </row>
    <row r="13" spans="1:7" s="145" customFormat="1" ht="18.75" customHeight="1">
      <c r="A13" s="140"/>
      <c r="B13" s="141"/>
      <c r="C13" s="142" t="s">
        <v>1583</v>
      </c>
      <c r="D13" s="143">
        <v>220000</v>
      </c>
      <c r="E13" s="143">
        <v>106019.82</v>
      </c>
      <c r="F13" s="144">
        <f>E13/D13*100</f>
        <v>48.190827272727276</v>
      </c>
      <c r="G13" s="138"/>
    </row>
    <row r="14" spans="1:7" s="125" customFormat="1" ht="18.75" customHeight="1">
      <c r="A14" s="119"/>
      <c r="B14" s="120" t="s">
        <v>1699</v>
      </c>
      <c r="C14" s="146" t="s">
        <v>1700</v>
      </c>
      <c r="D14" s="122">
        <f>D15</f>
        <v>1900</v>
      </c>
      <c r="E14" s="122">
        <f>E15</f>
        <v>1255.66</v>
      </c>
      <c r="F14" s="123">
        <f t="shared" si="0"/>
        <v>66.08736842105264</v>
      </c>
      <c r="G14" s="117"/>
    </row>
    <row r="15" spans="1:7" s="150" customFormat="1" ht="18.75" customHeight="1">
      <c r="A15" s="147"/>
      <c r="B15" s="148"/>
      <c r="C15" s="128" t="s">
        <v>1235</v>
      </c>
      <c r="D15" s="129">
        <f>SUM(D16)</f>
        <v>1900</v>
      </c>
      <c r="E15" s="129">
        <f>SUM(E16)</f>
        <v>1255.66</v>
      </c>
      <c r="F15" s="130">
        <f t="shared" si="0"/>
        <v>66.08736842105264</v>
      </c>
      <c r="G15" s="149"/>
    </row>
    <row r="16" spans="1:7" s="139" customFormat="1" ht="26.25" customHeight="1">
      <c r="A16" s="133"/>
      <c r="B16" s="134"/>
      <c r="C16" s="135" t="s">
        <v>1804</v>
      </c>
      <c r="D16" s="136">
        <v>1900</v>
      </c>
      <c r="E16" s="136">
        <v>1255.66</v>
      </c>
      <c r="F16" s="137">
        <f t="shared" si="0"/>
        <v>66.08736842105264</v>
      </c>
      <c r="G16" s="151"/>
    </row>
    <row r="17" spans="1:8" s="153" customFormat="1" ht="18.75" customHeight="1">
      <c r="A17" s="119"/>
      <c r="B17" s="120" t="s">
        <v>1701</v>
      </c>
      <c r="C17" s="152" t="s">
        <v>215</v>
      </c>
      <c r="D17" s="122">
        <f>D18</f>
        <v>42123.57</v>
      </c>
      <c r="E17" s="122">
        <f>E18</f>
        <v>37230.45</v>
      </c>
      <c r="F17" s="123">
        <f t="shared" si="0"/>
        <v>88.3838905391922</v>
      </c>
      <c r="G17" s="117"/>
      <c r="H17" s="125"/>
    </row>
    <row r="18" spans="1:7" s="132" customFormat="1" ht="18.75" customHeight="1">
      <c r="A18" s="126"/>
      <c r="B18" s="127"/>
      <c r="C18" s="128" t="s">
        <v>1235</v>
      </c>
      <c r="D18" s="129">
        <f>SUM(D19)</f>
        <v>42123.57</v>
      </c>
      <c r="E18" s="129">
        <f>SUM(E19)</f>
        <v>37230.45</v>
      </c>
      <c r="F18" s="130">
        <f>E18/D18*100</f>
        <v>88.3838905391922</v>
      </c>
      <c r="G18" s="131"/>
    </row>
    <row r="19" spans="1:7" s="139" customFormat="1" ht="18" customHeight="1">
      <c r="A19" s="133"/>
      <c r="B19" s="134"/>
      <c r="C19" s="135" t="s">
        <v>1582</v>
      </c>
      <c r="D19" s="136">
        <f>SUM(D20)</f>
        <v>42123.57</v>
      </c>
      <c r="E19" s="136">
        <f>SUM(E20)</f>
        <v>37230.45</v>
      </c>
      <c r="F19" s="137">
        <f>E19/D19*100</f>
        <v>88.3838905391922</v>
      </c>
      <c r="G19" s="138"/>
    </row>
    <row r="20" spans="1:7" s="145" customFormat="1" ht="18.75" customHeight="1">
      <c r="A20" s="140"/>
      <c r="B20" s="141"/>
      <c r="C20" s="142" t="s">
        <v>1583</v>
      </c>
      <c r="D20" s="143">
        <v>42123.57</v>
      </c>
      <c r="E20" s="143">
        <v>37230.45</v>
      </c>
      <c r="F20" s="144">
        <f>E20/D20*100</f>
        <v>88.3838905391922</v>
      </c>
      <c r="G20" s="138"/>
    </row>
    <row r="21" spans="1:7" s="118" customFormat="1" ht="18.75" customHeight="1">
      <c r="A21" s="112" t="s">
        <v>216</v>
      </c>
      <c r="B21" s="113"/>
      <c r="C21" s="154" t="s">
        <v>1702</v>
      </c>
      <c r="D21" s="115">
        <f>SUM(D22)</f>
        <v>20000</v>
      </c>
      <c r="E21" s="115">
        <f>SUM(E22)</f>
        <v>4974</v>
      </c>
      <c r="F21" s="116">
        <f t="shared" si="0"/>
        <v>24.87</v>
      </c>
      <c r="G21" s="117"/>
    </row>
    <row r="22" spans="1:8" s="153" customFormat="1" ht="18.75" customHeight="1">
      <c r="A22" s="119"/>
      <c r="B22" s="120" t="s">
        <v>217</v>
      </c>
      <c r="C22" s="152" t="s">
        <v>215</v>
      </c>
      <c r="D22" s="122">
        <f>D25</f>
        <v>20000</v>
      </c>
      <c r="E22" s="122">
        <f>E25</f>
        <v>4974</v>
      </c>
      <c r="F22" s="123">
        <f t="shared" si="0"/>
        <v>24.87</v>
      </c>
      <c r="G22" s="117"/>
      <c r="H22" s="125"/>
    </row>
    <row r="23" spans="1:7" s="132" customFormat="1" ht="18.75" customHeight="1">
      <c r="A23" s="126"/>
      <c r="B23" s="127"/>
      <c r="C23" s="128" t="s">
        <v>1235</v>
      </c>
      <c r="D23" s="129">
        <f>SUM(D24)</f>
        <v>20000</v>
      </c>
      <c r="E23" s="129">
        <f>SUM(E24)</f>
        <v>4974</v>
      </c>
      <c r="F23" s="130">
        <f t="shared" si="0"/>
        <v>24.87</v>
      </c>
      <c r="G23" s="131"/>
    </row>
    <row r="24" spans="1:7" s="139" customFormat="1" ht="18" customHeight="1">
      <c r="A24" s="133"/>
      <c r="B24" s="134"/>
      <c r="C24" s="135" t="s">
        <v>1582</v>
      </c>
      <c r="D24" s="136">
        <f>SUM(D25)</f>
        <v>20000</v>
      </c>
      <c r="E24" s="136">
        <f>SUM(E25)</f>
        <v>4974</v>
      </c>
      <c r="F24" s="137">
        <f>E24/D24*100</f>
        <v>24.87</v>
      </c>
      <c r="G24" s="138"/>
    </row>
    <row r="25" spans="1:7" s="145" customFormat="1" ht="18.75" customHeight="1">
      <c r="A25" s="140"/>
      <c r="B25" s="141"/>
      <c r="C25" s="142" t="s">
        <v>1583</v>
      </c>
      <c r="D25" s="143">
        <v>20000</v>
      </c>
      <c r="E25" s="143">
        <v>4974</v>
      </c>
      <c r="F25" s="144">
        <f>E25/D25*100</f>
        <v>24.87</v>
      </c>
      <c r="G25" s="138"/>
    </row>
    <row r="26" spans="1:7" s="118" customFormat="1" ht="38.25" customHeight="1">
      <c r="A26" s="155" t="s">
        <v>399</v>
      </c>
      <c r="B26" s="113"/>
      <c r="C26" s="114" t="s">
        <v>1703</v>
      </c>
      <c r="D26" s="115">
        <f>D27</f>
        <v>1429000</v>
      </c>
      <c r="E26" s="115">
        <f>E27</f>
        <v>1411739.7</v>
      </c>
      <c r="F26" s="116">
        <f t="shared" si="0"/>
        <v>98.79214135759273</v>
      </c>
      <c r="G26" s="117"/>
    </row>
    <row r="27" spans="1:8" s="153" customFormat="1" ht="18.75" customHeight="1">
      <c r="A27" s="119"/>
      <c r="B27" s="120" t="s">
        <v>1704</v>
      </c>
      <c r="C27" s="152" t="s">
        <v>1705</v>
      </c>
      <c r="D27" s="122">
        <f>D30</f>
        <v>1429000</v>
      </c>
      <c r="E27" s="122">
        <f>E30</f>
        <v>1411739.7</v>
      </c>
      <c r="F27" s="123">
        <f t="shared" si="0"/>
        <v>98.79214135759273</v>
      </c>
      <c r="G27" s="117"/>
      <c r="H27" s="125"/>
    </row>
    <row r="28" spans="1:7" s="132" customFormat="1" ht="18.75" customHeight="1">
      <c r="A28" s="126"/>
      <c r="B28" s="127"/>
      <c r="C28" s="128" t="s">
        <v>1235</v>
      </c>
      <c r="D28" s="129">
        <f>SUM(D29)</f>
        <v>1429000</v>
      </c>
      <c r="E28" s="129">
        <f>SUM(E29)</f>
        <v>1411739.7</v>
      </c>
      <c r="F28" s="130">
        <f aca="true" t="shared" si="1" ref="F28:F38">E28/D28*100</f>
        <v>98.79214135759273</v>
      </c>
      <c r="G28" s="131"/>
    </row>
    <row r="29" spans="1:7" s="139" customFormat="1" ht="18" customHeight="1">
      <c r="A29" s="133"/>
      <c r="B29" s="134"/>
      <c r="C29" s="135" t="s">
        <v>1582</v>
      </c>
      <c r="D29" s="136">
        <f>SUM(D30)</f>
        <v>1429000</v>
      </c>
      <c r="E29" s="136">
        <f>SUM(E30)</f>
        <v>1411739.7</v>
      </c>
      <c r="F29" s="137">
        <f t="shared" si="1"/>
        <v>98.79214135759273</v>
      </c>
      <c r="G29" s="138"/>
    </row>
    <row r="30" spans="1:7" s="145" customFormat="1" ht="18.75" customHeight="1">
      <c r="A30" s="140"/>
      <c r="B30" s="141"/>
      <c r="C30" s="142" t="s">
        <v>1583</v>
      </c>
      <c r="D30" s="143">
        <v>1429000</v>
      </c>
      <c r="E30" s="143">
        <v>1411739.7</v>
      </c>
      <c r="F30" s="144">
        <f t="shared" si="1"/>
        <v>98.79214135759273</v>
      </c>
      <c r="G30" s="138"/>
    </row>
    <row r="31" spans="1:7" s="118" customFormat="1" ht="18.75" customHeight="1">
      <c r="A31" s="112" t="s">
        <v>218</v>
      </c>
      <c r="B31" s="113"/>
      <c r="C31" s="154" t="s">
        <v>1706</v>
      </c>
      <c r="D31" s="115">
        <f>SUM(D33,D37)</f>
        <v>4954188</v>
      </c>
      <c r="E31" s="115">
        <f>SUM(E33,E37)</f>
        <v>3703408.26</v>
      </c>
      <c r="F31" s="116">
        <f t="shared" si="1"/>
        <v>74.75308284627067</v>
      </c>
      <c r="G31" s="117"/>
    </row>
    <row r="32" spans="1:8" s="153" customFormat="1" ht="18.75" customHeight="1">
      <c r="A32" s="119"/>
      <c r="B32" s="120" t="s">
        <v>1712</v>
      </c>
      <c r="C32" s="152" t="s">
        <v>215</v>
      </c>
      <c r="D32" s="122">
        <f>SUM(D33,D37)</f>
        <v>4954188</v>
      </c>
      <c r="E32" s="122">
        <f>SUM(E33,E37)</f>
        <v>3703408.26</v>
      </c>
      <c r="F32" s="123">
        <f t="shared" si="1"/>
        <v>74.75308284627067</v>
      </c>
      <c r="G32" s="117"/>
      <c r="H32" s="125"/>
    </row>
    <row r="33" spans="1:7" s="132" customFormat="1" ht="18.75" customHeight="1">
      <c r="A33" s="126"/>
      <c r="B33" s="127"/>
      <c r="C33" s="128" t="s">
        <v>1235</v>
      </c>
      <c r="D33" s="129">
        <f>SUM(D34)</f>
        <v>414188</v>
      </c>
      <c r="E33" s="129">
        <f>SUM(E34)</f>
        <v>287143.52999999997</v>
      </c>
      <c r="F33" s="130">
        <f t="shared" si="1"/>
        <v>69.32685881773494</v>
      </c>
      <c r="G33" s="131"/>
    </row>
    <row r="34" spans="1:7" s="139" customFormat="1" ht="18" customHeight="1">
      <c r="A34" s="133"/>
      <c r="B34" s="134"/>
      <c r="C34" s="135" t="s">
        <v>1582</v>
      </c>
      <c r="D34" s="136">
        <f>SUM(D35,D36)</f>
        <v>414188</v>
      </c>
      <c r="E34" s="136">
        <f>SUM(E35,E36)</f>
        <v>287143.52999999997</v>
      </c>
      <c r="F34" s="137">
        <f t="shared" si="1"/>
        <v>69.32685881773494</v>
      </c>
      <c r="G34" s="138"/>
    </row>
    <row r="35" spans="1:7" s="145" customFormat="1" ht="18.75" customHeight="1">
      <c r="A35" s="140"/>
      <c r="B35" s="141"/>
      <c r="C35" s="142" t="s">
        <v>1714</v>
      </c>
      <c r="D35" s="143">
        <v>207088</v>
      </c>
      <c r="E35" s="143">
        <v>129818.48</v>
      </c>
      <c r="F35" s="144">
        <f t="shared" si="1"/>
        <v>62.687591748435445</v>
      </c>
      <c r="G35" s="138"/>
    </row>
    <row r="36" spans="1:7" s="145" customFormat="1" ht="18.75" customHeight="1">
      <c r="A36" s="140"/>
      <c r="B36" s="141"/>
      <c r="C36" s="142" t="s">
        <v>1583</v>
      </c>
      <c r="D36" s="143">
        <v>207100</v>
      </c>
      <c r="E36" s="143">
        <v>157325.05</v>
      </c>
      <c r="F36" s="144">
        <f t="shared" si="1"/>
        <v>75.96574118783195</v>
      </c>
      <c r="G36" s="138"/>
    </row>
    <row r="37" spans="1:7" s="132" customFormat="1" ht="18.75" customHeight="1">
      <c r="A37" s="126"/>
      <c r="B37" s="127"/>
      <c r="C37" s="128" t="s">
        <v>1585</v>
      </c>
      <c r="D37" s="129">
        <f>SUM(D38)</f>
        <v>4540000</v>
      </c>
      <c r="E37" s="129">
        <f>SUM(E38)</f>
        <v>3416264.73</v>
      </c>
      <c r="F37" s="130">
        <f t="shared" si="1"/>
        <v>75.2481218061674</v>
      </c>
      <c r="G37" s="131"/>
    </row>
    <row r="38" spans="1:7" s="139" customFormat="1" ht="28.5" customHeight="1">
      <c r="A38" s="133"/>
      <c r="B38" s="134"/>
      <c r="C38" s="135" t="s">
        <v>293</v>
      </c>
      <c r="D38" s="136">
        <v>4540000</v>
      </c>
      <c r="E38" s="136">
        <f>4164405.05-748140.32</f>
        <v>3416264.73</v>
      </c>
      <c r="F38" s="137">
        <f t="shared" si="1"/>
        <v>75.2481218061674</v>
      </c>
      <c r="G38" s="138"/>
    </row>
    <row r="39" spans="1:7" s="118" customFormat="1" ht="18.75" customHeight="1">
      <c r="A39" s="112" t="s">
        <v>310</v>
      </c>
      <c r="B39" s="113"/>
      <c r="C39" s="154" t="s">
        <v>311</v>
      </c>
      <c r="D39" s="115">
        <f>SUM(D40,D46,D54)</f>
        <v>9013604</v>
      </c>
      <c r="E39" s="115">
        <f>SUM(E40,E46,E54)</f>
        <v>8753367.26</v>
      </c>
      <c r="F39" s="116">
        <f aca="true" t="shared" si="2" ref="F39:F46">E39/D39*100</f>
        <v>97.11284476220611</v>
      </c>
      <c r="G39" s="117"/>
    </row>
    <row r="40" spans="1:7" s="125" customFormat="1" ht="18.75" customHeight="1">
      <c r="A40" s="119"/>
      <c r="B40" s="120" t="s">
        <v>1687</v>
      </c>
      <c r="C40" s="152" t="s">
        <v>1688</v>
      </c>
      <c r="D40" s="122">
        <f>SUM(D41,D44)</f>
        <v>3300000</v>
      </c>
      <c r="E40" s="122">
        <f>SUM(E41,E44)</f>
        <v>3300000</v>
      </c>
      <c r="F40" s="123">
        <f t="shared" si="2"/>
        <v>100</v>
      </c>
      <c r="G40" s="117"/>
    </row>
    <row r="41" spans="1:7" s="132" customFormat="1" ht="18.75" customHeight="1">
      <c r="A41" s="126"/>
      <c r="B41" s="127"/>
      <c r="C41" s="128" t="s">
        <v>1235</v>
      </c>
      <c r="D41" s="129">
        <f>SUM(D42)</f>
        <v>3300000</v>
      </c>
      <c r="E41" s="129">
        <f>SUM(E42)</f>
        <v>3300000</v>
      </c>
      <c r="F41" s="130">
        <f t="shared" si="2"/>
        <v>100</v>
      </c>
      <c r="G41" s="131"/>
    </row>
    <row r="42" spans="1:7" s="139" customFormat="1" ht="18" customHeight="1">
      <c r="A42" s="133"/>
      <c r="B42" s="134"/>
      <c r="C42" s="135" t="s">
        <v>1582</v>
      </c>
      <c r="D42" s="136">
        <f>SUM(D43)</f>
        <v>3300000</v>
      </c>
      <c r="E42" s="136">
        <f>SUM(E43)</f>
        <v>3300000</v>
      </c>
      <c r="F42" s="137">
        <f>E42/D42*100</f>
        <v>100</v>
      </c>
      <c r="G42" s="138"/>
    </row>
    <row r="43" spans="1:7" s="145" customFormat="1" ht="18.75" customHeight="1">
      <c r="A43" s="140"/>
      <c r="B43" s="141"/>
      <c r="C43" s="142" t="s">
        <v>1583</v>
      </c>
      <c r="D43" s="143">
        <v>3300000</v>
      </c>
      <c r="E43" s="143">
        <v>3300000</v>
      </c>
      <c r="F43" s="144">
        <f>E43/D43*100</f>
        <v>100</v>
      </c>
      <c r="G43" s="138"/>
    </row>
    <row r="44" spans="1:7" s="132" customFormat="1" ht="18.75" customHeight="1" hidden="1">
      <c r="A44" s="126"/>
      <c r="B44" s="127"/>
      <c r="C44" s="128" t="s">
        <v>1585</v>
      </c>
      <c r="D44" s="129">
        <f>SUM(D45)</f>
        <v>0</v>
      </c>
      <c r="E44" s="129">
        <f>SUM(E45)</f>
        <v>0</v>
      </c>
      <c r="F44" s="130" t="e">
        <f>E44/D44*100</f>
        <v>#DIV/0!</v>
      </c>
      <c r="G44" s="131"/>
    </row>
    <row r="45" spans="1:7" s="139" customFormat="1" ht="38.25" customHeight="1" hidden="1">
      <c r="A45" s="133"/>
      <c r="B45" s="134"/>
      <c r="C45" s="135" t="s">
        <v>221</v>
      </c>
      <c r="D45" s="136">
        <v>0</v>
      </c>
      <c r="E45" s="136">
        <v>0</v>
      </c>
      <c r="F45" s="137" t="e">
        <f>E45/D45*100</f>
        <v>#DIV/0!</v>
      </c>
      <c r="G45" s="138"/>
    </row>
    <row r="46" spans="1:7" s="125" customFormat="1" ht="18.75" customHeight="1">
      <c r="A46" s="119"/>
      <c r="B46" s="120" t="s">
        <v>313</v>
      </c>
      <c r="C46" s="121" t="s">
        <v>314</v>
      </c>
      <c r="D46" s="122">
        <f>SUM(D47,D51)</f>
        <v>5331000</v>
      </c>
      <c r="E46" s="122">
        <f>SUM(E47,E51)</f>
        <v>5131170.73</v>
      </c>
      <c r="F46" s="123">
        <f t="shared" si="2"/>
        <v>96.25156124554493</v>
      </c>
      <c r="G46" s="117"/>
    </row>
    <row r="47" spans="1:7" s="132" customFormat="1" ht="18.75" customHeight="1">
      <c r="A47" s="126"/>
      <c r="B47" s="127"/>
      <c r="C47" s="128" t="s">
        <v>1235</v>
      </c>
      <c r="D47" s="129">
        <f>SUM(D48)</f>
        <v>2840754</v>
      </c>
      <c r="E47" s="129">
        <f>SUM(E48)</f>
        <v>2791411.64</v>
      </c>
      <c r="F47" s="130">
        <f aca="true" t="shared" si="3" ref="F47:F64">E47/D47*100</f>
        <v>98.26305410464968</v>
      </c>
      <c r="G47" s="131"/>
    </row>
    <row r="48" spans="1:7" s="139" customFormat="1" ht="18" customHeight="1">
      <c r="A48" s="133"/>
      <c r="B48" s="134"/>
      <c r="C48" s="135" t="s">
        <v>1582</v>
      </c>
      <c r="D48" s="136">
        <f>SUM(D49,D50)</f>
        <v>2840754</v>
      </c>
      <c r="E48" s="136">
        <f>SUM(E49,E50)</f>
        <v>2791411.64</v>
      </c>
      <c r="F48" s="137">
        <f t="shared" si="3"/>
        <v>98.26305410464968</v>
      </c>
      <c r="G48" s="138"/>
    </row>
    <row r="49" spans="1:7" s="145" customFormat="1" ht="18.75" customHeight="1">
      <c r="A49" s="140"/>
      <c r="B49" s="141"/>
      <c r="C49" s="142" t="s">
        <v>1714</v>
      </c>
      <c r="D49" s="143">
        <v>37000</v>
      </c>
      <c r="E49" s="143">
        <v>35531.6</v>
      </c>
      <c r="F49" s="144">
        <f t="shared" si="3"/>
        <v>96.03135135135135</v>
      </c>
      <c r="G49" s="138"/>
    </row>
    <row r="50" spans="1:7" s="145" customFormat="1" ht="18.75" customHeight="1">
      <c r="A50" s="140"/>
      <c r="B50" s="141"/>
      <c r="C50" s="142" t="s">
        <v>1583</v>
      </c>
      <c r="D50" s="143">
        <v>2803754</v>
      </c>
      <c r="E50" s="143">
        <v>2755880.04</v>
      </c>
      <c r="F50" s="144">
        <f t="shared" si="3"/>
        <v>98.29250497725549</v>
      </c>
      <c r="G50" s="138"/>
    </row>
    <row r="51" spans="1:7" s="132" customFormat="1" ht="18.75" customHeight="1">
      <c r="A51" s="126"/>
      <c r="B51" s="127"/>
      <c r="C51" s="128" t="s">
        <v>1585</v>
      </c>
      <c r="D51" s="129">
        <f>SUM(D52,D53)</f>
        <v>2490246</v>
      </c>
      <c r="E51" s="129">
        <f>SUM(E52,E53)</f>
        <v>2339759.09</v>
      </c>
      <c r="F51" s="130">
        <f t="shared" si="3"/>
        <v>93.95694602059395</v>
      </c>
      <c r="G51" s="131"/>
    </row>
    <row r="52" spans="1:7" s="139" customFormat="1" ht="28.5" customHeight="1">
      <c r="A52" s="133"/>
      <c r="B52" s="134"/>
      <c r="C52" s="135" t="s">
        <v>293</v>
      </c>
      <c r="D52" s="136">
        <v>2490246</v>
      </c>
      <c r="E52" s="136">
        <v>2339759.09</v>
      </c>
      <c r="F52" s="137">
        <f t="shared" si="3"/>
        <v>93.95694602059395</v>
      </c>
      <c r="G52" s="138"/>
    </row>
    <row r="53" spans="1:7" s="29" customFormat="1" ht="18" customHeight="1" hidden="1">
      <c r="A53" s="37"/>
      <c r="B53" s="26"/>
      <c r="C53" s="13" t="s">
        <v>1596</v>
      </c>
      <c r="D53" s="14">
        <v>0</v>
      </c>
      <c r="E53" s="14">
        <v>0</v>
      </c>
      <c r="F53" s="27" t="e">
        <f t="shared" si="3"/>
        <v>#DIV/0!</v>
      </c>
      <c r="G53" s="28"/>
    </row>
    <row r="54" spans="1:7" s="139" customFormat="1" ht="18.75" customHeight="1">
      <c r="A54" s="169"/>
      <c r="B54" s="120" t="s">
        <v>1549</v>
      </c>
      <c r="C54" s="152" t="s">
        <v>1550</v>
      </c>
      <c r="D54" s="122">
        <f>SUM(D55)</f>
        <v>382604</v>
      </c>
      <c r="E54" s="122">
        <f>SUM(E55)</f>
        <v>322196.53</v>
      </c>
      <c r="F54" s="123">
        <f t="shared" si="3"/>
        <v>84.21149020919802</v>
      </c>
      <c r="G54" s="138"/>
    </row>
    <row r="55" spans="1:7" s="132" customFormat="1" ht="18.75" customHeight="1">
      <c r="A55" s="126"/>
      <c r="B55" s="127"/>
      <c r="C55" s="128" t="s">
        <v>1235</v>
      </c>
      <c r="D55" s="129">
        <f>SUM(D56)</f>
        <v>382604</v>
      </c>
      <c r="E55" s="129">
        <f>SUM(E56)</f>
        <v>322196.53</v>
      </c>
      <c r="F55" s="130">
        <f t="shared" si="3"/>
        <v>84.21149020919802</v>
      </c>
      <c r="G55" s="131"/>
    </row>
    <row r="56" spans="1:7" s="139" customFormat="1" ht="18" customHeight="1">
      <c r="A56" s="133"/>
      <c r="B56" s="134"/>
      <c r="C56" s="135" t="s">
        <v>1582</v>
      </c>
      <c r="D56" s="136">
        <f>SUM(D57,D58)</f>
        <v>382604</v>
      </c>
      <c r="E56" s="136">
        <f>SUM(E57,E58)</f>
        <v>322196.53</v>
      </c>
      <c r="F56" s="137">
        <f t="shared" si="3"/>
        <v>84.21149020919802</v>
      </c>
      <c r="G56" s="138"/>
    </row>
    <row r="57" spans="1:7" s="145" customFormat="1" ht="18.75" customHeight="1">
      <c r="A57" s="140"/>
      <c r="B57" s="141"/>
      <c r="C57" s="142" t="s">
        <v>1714</v>
      </c>
      <c r="D57" s="143">
        <v>201583</v>
      </c>
      <c r="E57" s="143">
        <v>188903.13</v>
      </c>
      <c r="F57" s="144">
        <f t="shared" si="3"/>
        <v>93.70985152517821</v>
      </c>
      <c r="G57" s="138"/>
    </row>
    <row r="58" spans="1:7" s="145" customFormat="1" ht="18.75" customHeight="1">
      <c r="A58" s="140"/>
      <c r="B58" s="141"/>
      <c r="C58" s="142" t="s">
        <v>1583</v>
      </c>
      <c r="D58" s="143">
        <v>181021</v>
      </c>
      <c r="E58" s="143">
        <v>133293.4</v>
      </c>
      <c r="F58" s="144">
        <f t="shared" si="3"/>
        <v>73.63421923423249</v>
      </c>
      <c r="G58" s="138"/>
    </row>
    <row r="59" spans="1:7" s="118" customFormat="1" ht="18.75" customHeight="1">
      <c r="A59" s="170" t="s">
        <v>315</v>
      </c>
      <c r="B59" s="113"/>
      <c r="C59" s="154" t="s">
        <v>316</v>
      </c>
      <c r="D59" s="115">
        <f>D60+D66</f>
        <v>501830</v>
      </c>
      <c r="E59" s="115">
        <f>E60+E66</f>
        <v>439012.7</v>
      </c>
      <c r="F59" s="116">
        <f t="shared" si="3"/>
        <v>87.48235458222905</v>
      </c>
      <c r="G59" s="117"/>
    </row>
    <row r="60" spans="1:7" s="125" customFormat="1" ht="18.75" customHeight="1">
      <c r="A60" s="169"/>
      <c r="B60" s="120" t="s">
        <v>396</v>
      </c>
      <c r="C60" s="152" t="s">
        <v>397</v>
      </c>
      <c r="D60" s="122">
        <f>SUM(D61)</f>
        <v>315100</v>
      </c>
      <c r="E60" s="122">
        <f>SUM(E61)</f>
        <v>254576.13</v>
      </c>
      <c r="F60" s="123">
        <f t="shared" si="3"/>
        <v>80.7921707394478</v>
      </c>
      <c r="G60" s="117"/>
    </row>
    <row r="61" spans="1:7" s="132" customFormat="1" ht="18.75" customHeight="1">
      <c r="A61" s="126"/>
      <c r="B61" s="127"/>
      <c r="C61" s="128" t="s">
        <v>1235</v>
      </c>
      <c r="D61" s="129">
        <f>SUM(D62,D65)</f>
        <v>315100</v>
      </c>
      <c r="E61" s="129">
        <f>SUM(E62,E65)</f>
        <v>254576.13</v>
      </c>
      <c r="F61" s="130">
        <f t="shared" si="3"/>
        <v>80.7921707394478</v>
      </c>
      <c r="G61" s="131"/>
    </row>
    <row r="62" spans="1:7" s="139" customFormat="1" ht="18" customHeight="1">
      <c r="A62" s="133"/>
      <c r="B62" s="134"/>
      <c r="C62" s="135" t="s">
        <v>1582</v>
      </c>
      <c r="D62" s="136">
        <f>SUM(D63,D64)</f>
        <v>315100</v>
      </c>
      <c r="E62" s="136">
        <f>SUM(E63,E64)</f>
        <v>254576.13</v>
      </c>
      <c r="F62" s="137">
        <f t="shared" si="3"/>
        <v>80.7921707394478</v>
      </c>
      <c r="G62" s="138"/>
    </row>
    <row r="63" spans="1:7" s="145" customFormat="1" ht="18.75" customHeight="1">
      <c r="A63" s="140"/>
      <c r="B63" s="141"/>
      <c r="C63" s="142" t="s">
        <v>1714</v>
      </c>
      <c r="D63" s="143">
        <v>24500</v>
      </c>
      <c r="E63" s="143">
        <v>20538.58</v>
      </c>
      <c r="F63" s="144">
        <f t="shared" si="3"/>
        <v>83.8309387755102</v>
      </c>
      <c r="G63" s="138"/>
    </row>
    <row r="64" spans="1:7" s="145" customFormat="1" ht="18.75" customHeight="1">
      <c r="A64" s="140"/>
      <c r="B64" s="141"/>
      <c r="C64" s="142" t="s">
        <v>1583</v>
      </c>
      <c r="D64" s="143">
        <v>290600</v>
      </c>
      <c r="E64" s="143">
        <v>234037.55</v>
      </c>
      <c r="F64" s="144">
        <f t="shared" si="3"/>
        <v>80.53597728836888</v>
      </c>
      <c r="G64" s="138"/>
    </row>
    <row r="65" spans="1:7" s="29" customFormat="1" ht="18" customHeight="1" hidden="1">
      <c r="A65" s="25"/>
      <c r="B65" s="26"/>
      <c r="C65" s="13" t="s">
        <v>1596</v>
      </c>
      <c r="D65" s="14">
        <v>0</v>
      </c>
      <c r="E65" s="14">
        <v>0</v>
      </c>
      <c r="F65" s="27" t="e">
        <f>E65/D65*100</f>
        <v>#DIV/0!</v>
      </c>
      <c r="G65" s="28"/>
    </row>
    <row r="66" spans="1:7" s="125" customFormat="1" ht="18.75" customHeight="1">
      <c r="A66" s="169"/>
      <c r="B66" s="120" t="s">
        <v>1715</v>
      </c>
      <c r="C66" s="152" t="s">
        <v>1716</v>
      </c>
      <c r="D66" s="122">
        <f>SUM(D67)</f>
        <v>186730</v>
      </c>
      <c r="E66" s="122">
        <f>SUM(E67)</f>
        <v>184436.57</v>
      </c>
      <c r="F66" s="123">
        <f aca="true" t="shared" si="4" ref="F66:F92">E66/D66*100</f>
        <v>98.7717934986344</v>
      </c>
      <c r="G66" s="117"/>
    </row>
    <row r="67" spans="1:7" s="132" customFormat="1" ht="18.75" customHeight="1">
      <c r="A67" s="126"/>
      <c r="B67" s="127"/>
      <c r="C67" s="128" t="s">
        <v>1585</v>
      </c>
      <c r="D67" s="129">
        <f>SUM(D68,D69)</f>
        <v>186730</v>
      </c>
      <c r="E67" s="129">
        <f>SUM(E68,E69)</f>
        <v>184436.57</v>
      </c>
      <c r="F67" s="130">
        <f t="shared" si="4"/>
        <v>98.7717934986344</v>
      </c>
      <c r="G67" s="131"/>
    </row>
    <row r="68" spans="1:7" s="139" customFormat="1" ht="26.25" customHeight="1">
      <c r="A68" s="133"/>
      <c r="B68" s="134"/>
      <c r="C68" s="135" t="s">
        <v>293</v>
      </c>
      <c r="D68" s="136">
        <v>186730</v>
      </c>
      <c r="E68" s="136">
        <v>184436.57</v>
      </c>
      <c r="F68" s="137">
        <f t="shared" si="4"/>
        <v>98.7717934986344</v>
      </c>
      <c r="G68" s="138"/>
    </row>
    <row r="69" spans="1:7" s="29" customFormat="1" ht="18" customHeight="1" hidden="1">
      <c r="A69" s="37"/>
      <c r="B69" s="26"/>
      <c r="C69" s="13" t="s">
        <v>1596</v>
      </c>
      <c r="D69" s="14">
        <v>0</v>
      </c>
      <c r="E69" s="14">
        <v>0</v>
      </c>
      <c r="F69" s="27" t="e">
        <f t="shared" si="4"/>
        <v>#DIV/0!</v>
      </c>
      <c r="G69" s="28"/>
    </row>
    <row r="70" spans="1:7" s="118" customFormat="1" ht="18" customHeight="1">
      <c r="A70" s="170" t="s">
        <v>317</v>
      </c>
      <c r="B70" s="113"/>
      <c r="C70" s="154" t="s">
        <v>257</v>
      </c>
      <c r="D70" s="115">
        <f>D77+D84+D71</f>
        <v>12419998</v>
      </c>
      <c r="E70" s="115">
        <f>E77+E84+E71</f>
        <v>10995709.36</v>
      </c>
      <c r="F70" s="116">
        <f t="shared" si="4"/>
        <v>88.53229573788981</v>
      </c>
      <c r="G70" s="117"/>
    </row>
    <row r="71" spans="1:7" s="125" customFormat="1" ht="18.75" customHeight="1">
      <c r="A71" s="169"/>
      <c r="B71" s="120" t="s">
        <v>1717</v>
      </c>
      <c r="C71" s="152" t="s">
        <v>1719</v>
      </c>
      <c r="D71" s="122">
        <f>SUM(D72,D74)</f>
        <v>3116983</v>
      </c>
      <c r="E71" s="122">
        <f>SUM(E72,E74)</f>
        <v>2400332.7199999997</v>
      </c>
      <c r="F71" s="123">
        <f t="shared" si="4"/>
        <v>77.00820697450067</v>
      </c>
      <c r="G71" s="117"/>
    </row>
    <row r="72" spans="1:7" s="150" customFormat="1" ht="18.75" customHeight="1">
      <c r="A72" s="147"/>
      <c r="B72" s="148"/>
      <c r="C72" s="128" t="s">
        <v>1235</v>
      </c>
      <c r="D72" s="129">
        <f>SUM(D73)</f>
        <v>320000</v>
      </c>
      <c r="E72" s="129">
        <f>SUM(E73)</f>
        <v>320000</v>
      </c>
      <c r="F72" s="130">
        <f t="shared" si="4"/>
        <v>100</v>
      </c>
      <c r="G72" s="149"/>
    </row>
    <row r="73" spans="1:7" s="139" customFormat="1" ht="18.75" customHeight="1">
      <c r="A73" s="133"/>
      <c r="B73" s="134"/>
      <c r="C73" s="135" t="s">
        <v>1584</v>
      </c>
      <c r="D73" s="136">
        <v>320000</v>
      </c>
      <c r="E73" s="136">
        <v>320000</v>
      </c>
      <c r="F73" s="137">
        <f t="shared" si="4"/>
        <v>100</v>
      </c>
      <c r="G73" s="151"/>
    </row>
    <row r="74" spans="1:7" s="132" customFormat="1" ht="18.75" customHeight="1">
      <c r="A74" s="126"/>
      <c r="B74" s="127"/>
      <c r="C74" s="128" t="s">
        <v>1585</v>
      </c>
      <c r="D74" s="129">
        <f>SUM(D75,D76)</f>
        <v>2796983</v>
      </c>
      <c r="E74" s="129">
        <f>SUM(E75,E76)</f>
        <v>2080332.72</v>
      </c>
      <c r="F74" s="130">
        <f>E74/D74*100</f>
        <v>74.3777391567986</v>
      </c>
      <c r="G74" s="131"/>
    </row>
    <row r="75" spans="1:7" s="139" customFormat="1" ht="28.5" customHeight="1">
      <c r="A75" s="133"/>
      <c r="B75" s="134"/>
      <c r="C75" s="135" t="s">
        <v>293</v>
      </c>
      <c r="D75" s="136">
        <v>2276000</v>
      </c>
      <c r="E75" s="136">
        <v>2001508.43</v>
      </c>
      <c r="F75" s="137">
        <f>E75/D75*100</f>
        <v>87.93973769771529</v>
      </c>
      <c r="G75" s="138"/>
    </row>
    <row r="76" spans="1:7" s="139" customFormat="1" ht="22.5" customHeight="1">
      <c r="A76" s="37"/>
      <c r="B76" s="26"/>
      <c r="C76" s="13" t="s">
        <v>1596</v>
      </c>
      <c r="D76" s="14">
        <v>520983</v>
      </c>
      <c r="E76" s="14">
        <v>78824.29</v>
      </c>
      <c r="F76" s="27">
        <f>E76/D76*100</f>
        <v>15.129915947353368</v>
      </c>
      <c r="G76" s="138"/>
    </row>
    <row r="77" spans="1:7" s="125" customFormat="1" ht="17.25" customHeight="1">
      <c r="A77" s="169"/>
      <c r="B77" s="120" t="s">
        <v>258</v>
      </c>
      <c r="C77" s="121" t="s">
        <v>259</v>
      </c>
      <c r="D77" s="122">
        <f>SUM(D78,D82)</f>
        <v>8453015</v>
      </c>
      <c r="E77" s="122">
        <f>SUM(E78,E82)</f>
        <v>7886611.95</v>
      </c>
      <c r="F77" s="123">
        <f t="shared" si="4"/>
        <v>93.2993961326225</v>
      </c>
      <c r="G77" s="117"/>
    </row>
    <row r="78" spans="1:7" s="132" customFormat="1" ht="18.75" customHeight="1">
      <c r="A78" s="126"/>
      <c r="B78" s="127"/>
      <c r="C78" s="128" t="s">
        <v>1235</v>
      </c>
      <c r="D78" s="129">
        <f>SUM(D79)</f>
        <v>1773665</v>
      </c>
      <c r="E78" s="129">
        <f>SUM(E79)</f>
        <v>1423498.84</v>
      </c>
      <c r="F78" s="130">
        <f t="shared" si="4"/>
        <v>80.25748041484722</v>
      </c>
      <c r="G78" s="131"/>
    </row>
    <row r="79" spans="1:7" s="139" customFormat="1" ht="18" customHeight="1">
      <c r="A79" s="133"/>
      <c r="B79" s="134"/>
      <c r="C79" s="135" t="s">
        <v>1582</v>
      </c>
      <c r="D79" s="136">
        <f>SUM(D80,D81)</f>
        <v>1773665</v>
      </c>
      <c r="E79" s="136">
        <f>SUM(E80,E81)</f>
        <v>1423498.84</v>
      </c>
      <c r="F79" s="137">
        <f>E79/D79*100</f>
        <v>80.25748041484722</v>
      </c>
      <c r="G79" s="138"/>
    </row>
    <row r="80" spans="1:7" s="145" customFormat="1" ht="18.75" customHeight="1" hidden="1">
      <c r="A80" s="140"/>
      <c r="B80" s="141"/>
      <c r="C80" s="142" t="s">
        <v>1714</v>
      </c>
      <c r="D80" s="143">
        <v>0</v>
      </c>
      <c r="E80" s="143">
        <v>0</v>
      </c>
      <c r="F80" s="144" t="e">
        <f>E80/D80*100</f>
        <v>#DIV/0!</v>
      </c>
      <c r="G80" s="138"/>
    </row>
    <row r="81" spans="1:7" s="145" customFormat="1" ht="18.75" customHeight="1">
      <c r="A81" s="140"/>
      <c r="B81" s="141"/>
      <c r="C81" s="142" t="s">
        <v>1583</v>
      </c>
      <c r="D81" s="143">
        <v>1773665</v>
      </c>
      <c r="E81" s="143">
        <v>1423498.84</v>
      </c>
      <c r="F81" s="144">
        <f>E81/D81*100</f>
        <v>80.25748041484722</v>
      </c>
      <c r="G81" s="138"/>
    </row>
    <row r="82" spans="1:7" s="132" customFormat="1" ht="18.75" customHeight="1">
      <c r="A82" s="126"/>
      <c r="B82" s="127"/>
      <c r="C82" s="128" t="s">
        <v>1585</v>
      </c>
      <c r="D82" s="129">
        <f>SUM(D83)</f>
        <v>6679350</v>
      </c>
      <c r="E82" s="129">
        <f>SUM(E83)</f>
        <v>6463113.11</v>
      </c>
      <c r="F82" s="130">
        <f>E82/D82*100</f>
        <v>96.76260579247982</v>
      </c>
      <c r="G82" s="131"/>
    </row>
    <row r="83" spans="1:7" s="139" customFormat="1" ht="27" customHeight="1">
      <c r="A83" s="133"/>
      <c r="B83" s="134"/>
      <c r="C83" s="135" t="s">
        <v>293</v>
      </c>
      <c r="D83" s="136">
        <v>6679350</v>
      </c>
      <c r="E83" s="136">
        <v>6463113.11</v>
      </c>
      <c r="F83" s="137">
        <f>E83/D83*100</f>
        <v>96.76260579247982</v>
      </c>
      <c r="G83" s="138"/>
    </row>
    <row r="84" spans="1:7" s="125" customFormat="1" ht="18.75" customHeight="1">
      <c r="A84" s="169"/>
      <c r="B84" s="120" t="s">
        <v>1720</v>
      </c>
      <c r="C84" s="152" t="s">
        <v>215</v>
      </c>
      <c r="D84" s="122">
        <f>SUM(D85,D88)</f>
        <v>850000</v>
      </c>
      <c r="E84" s="122">
        <f>SUM(E85,E88)</f>
        <v>708764.69</v>
      </c>
      <c r="F84" s="123">
        <f t="shared" si="4"/>
        <v>83.38408117647059</v>
      </c>
      <c r="G84" s="117"/>
    </row>
    <row r="85" spans="1:7" s="132" customFormat="1" ht="18.75" customHeight="1" hidden="1">
      <c r="A85" s="126"/>
      <c r="B85" s="127"/>
      <c r="C85" s="128" t="s">
        <v>1235</v>
      </c>
      <c r="D85" s="129">
        <f>SUM(D86)</f>
        <v>0</v>
      </c>
      <c r="E85" s="129">
        <f>SUM(E86)</f>
        <v>0</v>
      </c>
      <c r="F85" s="130" t="e">
        <f>E85/D85*100</f>
        <v>#DIV/0!</v>
      </c>
      <c r="G85" s="131"/>
    </row>
    <row r="86" spans="1:7" s="139" customFormat="1" ht="18" customHeight="1" hidden="1">
      <c r="A86" s="133"/>
      <c r="B86" s="134"/>
      <c r="C86" s="135" t="s">
        <v>1582</v>
      </c>
      <c r="D86" s="136">
        <f>SUM(D87)</f>
        <v>0</v>
      </c>
      <c r="E86" s="136">
        <f>SUM(E87)</f>
        <v>0</v>
      </c>
      <c r="F86" s="137" t="e">
        <f>E86/D86*100</f>
        <v>#DIV/0!</v>
      </c>
      <c r="G86" s="138"/>
    </row>
    <row r="87" spans="1:7" s="145" customFormat="1" ht="18.75" customHeight="1" hidden="1">
      <c r="A87" s="140"/>
      <c r="B87" s="141"/>
      <c r="C87" s="142" t="s">
        <v>1583</v>
      </c>
      <c r="D87" s="143">
        <v>0</v>
      </c>
      <c r="E87" s="143">
        <v>0</v>
      </c>
      <c r="F87" s="144" t="e">
        <f>E87/D87*100</f>
        <v>#DIV/0!</v>
      </c>
      <c r="G87" s="138"/>
    </row>
    <row r="88" spans="1:7" s="132" customFormat="1" ht="18.75" customHeight="1">
      <c r="A88" s="126"/>
      <c r="B88" s="127"/>
      <c r="C88" s="128" t="s">
        <v>1585</v>
      </c>
      <c r="D88" s="129">
        <f>SUM(D89)</f>
        <v>850000</v>
      </c>
      <c r="E88" s="129">
        <f>SUM(E89)</f>
        <v>708764.69</v>
      </c>
      <c r="F88" s="130">
        <f t="shared" si="4"/>
        <v>83.38408117647059</v>
      </c>
      <c r="G88" s="131"/>
    </row>
    <row r="89" spans="1:7" s="139" customFormat="1" ht="29.25" customHeight="1">
      <c r="A89" s="133"/>
      <c r="B89" s="134"/>
      <c r="C89" s="135" t="s">
        <v>293</v>
      </c>
      <c r="D89" s="136">
        <v>850000</v>
      </c>
      <c r="E89" s="136">
        <v>708764.69</v>
      </c>
      <c r="F89" s="137">
        <f>E89/D89*100</f>
        <v>83.38408117647059</v>
      </c>
      <c r="G89" s="138"/>
    </row>
    <row r="90" spans="1:7" s="118" customFormat="1" ht="18.75" customHeight="1">
      <c r="A90" s="170" t="s">
        <v>260</v>
      </c>
      <c r="B90" s="113"/>
      <c r="C90" s="114" t="s">
        <v>261</v>
      </c>
      <c r="D90" s="115">
        <f>SUM(D91,D96,D100)</f>
        <v>1569617</v>
      </c>
      <c r="E90" s="115">
        <f>SUM(E91,E96,E100)</f>
        <v>1078231.78</v>
      </c>
      <c r="F90" s="116">
        <f>E90/D90*100</f>
        <v>68.69394126082987</v>
      </c>
      <c r="G90" s="117"/>
    </row>
    <row r="91" spans="1:7" s="125" customFormat="1" ht="18.75" customHeight="1">
      <c r="A91" s="169"/>
      <c r="B91" s="120" t="s">
        <v>1721</v>
      </c>
      <c r="C91" s="121" t="s">
        <v>1723</v>
      </c>
      <c r="D91" s="122">
        <f>SUM(D92)</f>
        <v>203400</v>
      </c>
      <c r="E91" s="122">
        <f>SUM(E92)</f>
        <v>110616.48</v>
      </c>
      <c r="F91" s="123">
        <f t="shared" si="4"/>
        <v>54.383716814159285</v>
      </c>
      <c r="G91" s="117"/>
    </row>
    <row r="92" spans="1:7" s="132" customFormat="1" ht="18.75" customHeight="1">
      <c r="A92" s="126"/>
      <c r="B92" s="127"/>
      <c r="C92" s="128" t="s">
        <v>1235</v>
      </c>
      <c r="D92" s="129">
        <f>SUM(D93)</f>
        <v>203400</v>
      </c>
      <c r="E92" s="129">
        <f>SUM(E93)</f>
        <v>110616.48</v>
      </c>
      <c r="F92" s="130">
        <f t="shared" si="4"/>
        <v>54.383716814159285</v>
      </c>
      <c r="G92" s="131"/>
    </row>
    <row r="93" spans="1:7" s="139" customFormat="1" ht="18" customHeight="1">
      <c r="A93" s="133"/>
      <c r="B93" s="134"/>
      <c r="C93" s="135" t="s">
        <v>1582</v>
      </c>
      <c r="D93" s="136">
        <f>SUM(D94,D95)</f>
        <v>203400</v>
      </c>
      <c r="E93" s="136">
        <f>SUM(E94,E95)</f>
        <v>110616.48</v>
      </c>
      <c r="F93" s="137">
        <f aca="true" t="shared" si="5" ref="F93:F126">E93/D93*100</f>
        <v>54.383716814159285</v>
      </c>
      <c r="G93" s="138"/>
    </row>
    <row r="94" spans="1:7" s="145" customFormat="1" ht="18.75" customHeight="1">
      <c r="A94" s="140"/>
      <c r="B94" s="141"/>
      <c r="C94" s="142" t="s">
        <v>1714</v>
      </c>
      <c r="D94" s="143">
        <v>13000</v>
      </c>
      <c r="E94" s="143">
        <v>5341.5</v>
      </c>
      <c r="F94" s="144">
        <f t="shared" si="5"/>
        <v>41.08846153846154</v>
      </c>
      <c r="G94" s="138"/>
    </row>
    <row r="95" spans="1:7" s="145" customFormat="1" ht="18.75" customHeight="1">
      <c r="A95" s="140"/>
      <c r="B95" s="141"/>
      <c r="C95" s="142" t="s">
        <v>1583</v>
      </c>
      <c r="D95" s="143">
        <v>190400</v>
      </c>
      <c r="E95" s="143">
        <v>105274.98</v>
      </c>
      <c r="F95" s="144">
        <f t="shared" si="5"/>
        <v>55.29148109243698</v>
      </c>
      <c r="G95" s="138"/>
    </row>
    <row r="96" spans="1:7" s="125" customFormat="1" ht="18.75" customHeight="1">
      <c r="A96" s="169"/>
      <c r="B96" s="120" t="s">
        <v>263</v>
      </c>
      <c r="C96" s="121" t="s">
        <v>264</v>
      </c>
      <c r="D96" s="122">
        <f aca="true" t="shared" si="6" ref="D96:E98">SUM(D97)</f>
        <v>135000</v>
      </c>
      <c r="E96" s="122">
        <f t="shared" si="6"/>
        <v>113886.6</v>
      </c>
      <c r="F96" s="123">
        <f t="shared" si="5"/>
        <v>84.36044444444445</v>
      </c>
      <c r="G96" s="117"/>
    </row>
    <row r="97" spans="1:7" s="132" customFormat="1" ht="18.75" customHeight="1">
      <c r="A97" s="126"/>
      <c r="B97" s="127"/>
      <c r="C97" s="128" t="s">
        <v>1235</v>
      </c>
      <c r="D97" s="129">
        <f t="shared" si="6"/>
        <v>135000</v>
      </c>
      <c r="E97" s="129">
        <f t="shared" si="6"/>
        <v>113886.6</v>
      </c>
      <c r="F97" s="130">
        <f t="shared" si="5"/>
        <v>84.36044444444445</v>
      </c>
      <c r="G97" s="131"/>
    </row>
    <row r="98" spans="1:7" s="139" customFormat="1" ht="18" customHeight="1">
      <c r="A98" s="133"/>
      <c r="B98" s="134"/>
      <c r="C98" s="135" t="s">
        <v>1582</v>
      </c>
      <c r="D98" s="136">
        <f t="shared" si="6"/>
        <v>135000</v>
      </c>
      <c r="E98" s="136">
        <f t="shared" si="6"/>
        <v>113886.6</v>
      </c>
      <c r="F98" s="137">
        <f t="shared" si="5"/>
        <v>84.36044444444445</v>
      </c>
      <c r="G98" s="138"/>
    </row>
    <row r="99" spans="1:7" s="145" customFormat="1" ht="18.75" customHeight="1">
      <c r="A99" s="140"/>
      <c r="B99" s="141"/>
      <c r="C99" s="142" t="s">
        <v>1583</v>
      </c>
      <c r="D99" s="143">
        <v>135000</v>
      </c>
      <c r="E99" s="143">
        <v>113886.6</v>
      </c>
      <c r="F99" s="144">
        <f t="shared" si="5"/>
        <v>84.36044444444445</v>
      </c>
      <c r="G99" s="138"/>
    </row>
    <row r="100" spans="1:8" s="153" customFormat="1" ht="18.75" customHeight="1">
      <c r="A100" s="169"/>
      <c r="B100" s="120" t="s">
        <v>256</v>
      </c>
      <c r="C100" s="176" t="s">
        <v>940</v>
      </c>
      <c r="D100" s="122">
        <f>SUM(D101,D104)</f>
        <v>1231217</v>
      </c>
      <c r="E100" s="122">
        <f>SUM(E101,E104)</f>
        <v>853728.7</v>
      </c>
      <c r="F100" s="123">
        <f t="shared" si="5"/>
        <v>69.34023003256128</v>
      </c>
      <c r="G100" s="117"/>
      <c r="H100" s="125"/>
    </row>
    <row r="101" spans="1:7" s="132" customFormat="1" ht="18.75" customHeight="1">
      <c r="A101" s="126"/>
      <c r="B101" s="127"/>
      <c r="C101" s="128" t="s">
        <v>1235</v>
      </c>
      <c r="D101" s="129">
        <f>SUM(D102)</f>
        <v>431217</v>
      </c>
      <c r="E101" s="129">
        <f>SUM(E102)</f>
        <v>387740.68</v>
      </c>
      <c r="F101" s="130">
        <f t="shared" si="5"/>
        <v>89.91776298244272</v>
      </c>
      <c r="G101" s="131"/>
    </row>
    <row r="102" spans="1:7" s="139" customFormat="1" ht="18" customHeight="1">
      <c r="A102" s="133"/>
      <c r="B102" s="134"/>
      <c r="C102" s="135" t="s">
        <v>1582</v>
      </c>
      <c r="D102" s="136">
        <f>SUM(D103)</f>
        <v>431217</v>
      </c>
      <c r="E102" s="136">
        <f>SUM(E103)</f>
        <v>387740.68</v>
      </c>
      <c r="F102" s="137">
        <f t="shared" si="5"/>
        <v>89.91776298244272</v>
      </c>
      <c r="G102" s="138"/>
    </row>
    <row r="103" spans="1:7" s="145" customFormat="1" ht="18.75" customHeight="1">
      <c r="A103" s="140"/>
      <c r="B103" s="141"/>
      <c r="C103" s="142" t="s">
        <v>1583</v>
      </c>
      <c r="D103" s="143">
        <v>431217</v>
      </c>
      <c r="E103" s="143">
        <v>387740.68</v>
      </c>
      <c r="F103" s="144">
        <f t="shared" si="5"/>
        <v>89.91776298244272</v>
      </c>
      <c r="G103" s="138"/>
    </row>
    <row r="104" spans="1:7" s="24" customFormat="1" ht="18.75" customHeight="1">
      <c r="A104" s="18"/>
      <c r="B104" s="19"/>
      <c r="C104" s="20" t="s">
        <v>1585</v>
      </c>
      <c r="D104" s="21">
        <f>SUM(D105)</f>
        <v>800000</v>
      </c>
      <c r="E104" s="21">
        <f>SUM(E105)</f>
        <v>465988.02</v>
      </c>
      <c r="F104" s="22">
        <f t="shared" si="5"/>
        <v>58.2485025</v>
      </c>
      <c r="G104" s="23"/>
    </row>
    <row r="105" spans="1:7" s="29" customFormat="1" ht="27" customHeight="1">
      <c r="A105" s="25"/>
      <c r="B105" s="26"/>
      <c r="C105" s="13" t="s">
        <v>293</v>
      </c>
      <c r="D105" s="14">
        <v>800000</v>
      </c>
      <c r="E105" s="14">
        <v>465988.02</v>
      </c>
      <c r="F105" s="27">
        <f t="shared" si="5"/>
        <v>58.2485025</v>
      </c>
      <c r="G105" s="28"/>
    </row>
    <row r="106" spans="1:7" s="118" customFormat="1" ht="18.75" customHeight="1">
      <c r="A106" s="170" t="s">
        <v>941</v>
      </c>
      <c r="B106" s="113"/>
      <c r="C106" s="154" t="s">
        <v>942</v>
      </c>
      <c r="D106" s="115">
        <f>SUM(D107,D112,D120,D129,D135,D141)</f>
        <v>16753645</v>
      </c>
      <c r="E106" s="115">
        <f>SUM(E107,E112,E120,E129,E135,E141)</f>
        <v>16220821.430000002</v>
      </c>
      <c r="F106" s="116">
        <f t="shared" si="5"/>
        <v>96.81965584205706</v>
      </c>
      <c r="G106" s="117"/>
    </row>
    <row r="107" spans="1:7" s="125" customFormat="1" ht="18.75" customHeight="1">
      <c r="A107" s="169"/>
      <c r="B107" s="120" t="s">
        <v>943</v>
      </c>
      <c r="C107" s="176" t="s">
        <v>949</v>
      </c>
      <c r="D107" s="122">
        <f>D108</f>
        <v>366200</v>
      </c>
      <c r="E107" s="122">
        <f>E108</f>
        <v>366199.49</v>
      </c>
      <c r="F107" s="123">
        <f t="shared" si="5"/>
        <v>99.99986073184051</v>
      </c>
      <c r="G107" s="117"/>
    </row>
    <row r="108" spans="1:7" s="132" customFormat="1" ht="18.75" customHeight="1">
      <c r="A108" s="126"/>
      <c r="B108" s="127"/>
      <c r="C108" s="128" t="s">
        <v>1235</v>
      </c>
      <c r="D108" s="129">
        <f>SUM(D109)</f>
        <v>366200</v>
      </c>
      <c r="E108" s="129">
        <f>SUM(E109)</f>
        <v>366199.49</v>
      </c>
      <c r="F108" s="130">
        <f t="shared" si="5"/>
        <v>99.99986073184051</v>
      </c>
      <c r="G108" s="131"/>
    </row>
    <row r="109" spans="1:7" s="139" customFormat="1" ht="18" customHeight="1">
      <c r="A109" s="133"/>
      <c r="B109" s="134"/>
      <c r="C109" s="135" t="s">
        <v>1582</v>
      </c>
      <c r="D109" s="136">
        <f>SUM(D110,D111)</f>
        <v>366200</v>
      </c>
      <c r="E109" s="136">
        <f>SUM(E110,E111)</f>
        <v>366199.49</v>
      </c>
      <c r="F109" s="137">
        <f t="shared" si="5"/>
        <v>99.99986073184051</v>
      </c>
      <c r="G109" s="138"/>
    </row>
    <row r="110" spans="1:7" s="145" customFormat="1" ht="18.75" customHeight="1">
      <c r="A110" s="140"/>
      <c r="B110" s="141"/>
      <c r="C110" s="142" t="s">
        <v>1714</v>
      </c>
      <c r="D110" s="143">
        <v>366200</v>
      </c>
      <c r="E110" s="143">
        <v>366199.49</v>
      </c>
      <c r="F110" s="144">
        <f t="shared" si="5"/>
        <v>99.99986073184051</v>
      </c>
      <c r="G110" s="138"/>
    </row>
    <row r="111" spans="1:7" s="145" customFormat="1" ht="18.75" customHeight="1" hidden="1">
      <c r="A111" s="140"/>
      <c r="B111" s="141"/>
      <c r="C111" s="142" t="s">
        <v>1583</v>
      </c>
      <c r="D111" s="143">
        <v>0</v>
      </c>
      <c r="E111" s="143">
        <v>0</v>
      </c>
      <c r="F111" s="144" t="e">
        <f t="shared" si="5"/>
        <v>#DIV/0!</v>
      </c>
      <c r="G111" s="138"/>
    </row>
    <row r="112" spans="1:7" s="125" customFormat="1" ht="18.75" customHeight="1">
      <c r="A112" s="169"/>
      <c r="B112" s="120" t="s">
        <v>1724</v>
      </c>
      <c r="C112" s="152" t="s">
        <v>1725</v>
      </c>
      <c r="D112" s="122">
        <f>SUM(D113,D118)</f>
        <v>499000</v>
      </c>
      <c r="E112" s="122">
        <f>SUM(E113,E118)</f>
        <v>476356.65</v>
      </c>
      <c r="F112" s="123">
        <f t="shared" si="5"/>
        <v>95.46225450901804</v>
      </c>
      <c r="G112" s="117"/>
    </row>
    <row r="113" spans="1:7" s="132" customFormat="1" ht="18.75" customHeight="1">
      <c r="A113" s="126"/>
      <c r="B113" s="127"/>
      <c r="C113" s="128" t="s">
        <v>1235</v>
      </c>
      <c r="D113" s="129">
        <f>SUM(D114,D117)</f>
        <v>499000</v>
      </c>
      <c r="E113" s="129">
        <f>SUM(E114,E117)</f>
        <v>476356.65</v>
      </c>
      <c r="F113" s="130">
        <f t="shared" si="5"/>
        <v>95.46225450901804</v>
      </c>
      <c r="G113" s="131"/>
    </row>
    <row r="114" spans="1:7" s="139" customFormat="1" ht="18" customHeight="1">
      <c r="A114" s="133"/>
      <c r="B114" s="134"/>
      <c r="C114" s="135" t="s">
        <v>1582</v>
      </c>
      <c r="D114" s="136">
        <f>SUM(D115,D116)</f>
        <v>51000</v>
      </c>
      <c r="E114" s="136">
        <f>SUM(E115,E116)</f>
        <v>46529.51</v>
      </c>
      <c r="F114" s="137">
        <f t="shared" si="5"/>
        <v>91.23433333333334</v>
      </c>
      <c r="G114" s="138"/>
    </row>
    <row r="115" spans="1:7" s="145" customFormat="1" ht="18.75" customHeight="1">
      <c r="A115" s="140"/>
      <c r="B115" s="141"/>
      <c r="C115" s="142" t="s">
        <v>1714</v>
      </c>
      <c r="D115" s="143">
        <v>7000</v>
      </c>
      <c r="E115" s="143">
        <v>7000</v>
      </c>
      <c r="F115" s="144">
        <f>E115/D115*100</f>
        <v>100</v>
      </c>
      <c r="G115" s="138"/>
    </row>
    <row r="116" spans="1:7" s="145" customFormat="1" ht="18.75" customHeight="1">
      <c r="A116" s="140"/>
      <c r="B116" s="141"/>
      <c r="C116" s="142" t="s">
        <v>1583</v>
      </c>
      <c r="D116" s="143">
        <v>44000</v>
      </c>
      <c r="E116" s="143">
        <v>39529.51</v>
      </c>
      <c r="F116" s="144">
        <f t="shared" si="5"/>
        <v>89.83979545454545</v>
      </c>
      <c r="G116" s="138"/>
    </row>
    <row r="117" spans="1:7" s="139" customFormat="1" ht="18.75" customHeight="1">
      <c r="A117" s="171"/>
      <c r="B117" s="134"/>
      <c r="C117" s="177" t="s">
        <v>1588</v>
      </c>
      <c r="D117" s="136">
        <v>448000</v>
      </c>
      <c r="E117" s="136">
        <v>429827.14</v>
      </c>
      <c r="F117" s="137">
        <f t="shared" si="5"/>
        <v>95.94355803571429</v>
      </c>
      <c r="G117" s="138"/>
    </row>
    <row r="118" spans="1:7" s="132" customFormat="1" ht="18.75" customHeight="1" hidden="1">
      <c r="A118" s="126"/>
      <c r="B118" s="127"/>
      <c r="C118" s="128" t="s">
        <v>1585</v>
      </c>
      <c r="D118" s="129">
        <f>SUM(D119)</f>
        <v>0</v>
      </c>
      <c r="E118" s="129">
        <f>SUM(E119)</f>
        <v>0</v>
      </c>
      <c r="F118" s="130" t="e">
        <f t="shared" si="5"/>
        <v>#DIV/0!</v>
      </c>
      <c r="G118" s="131"/>
    </row>
    <row r="119" spans="1:7" s="139" customFormat="1" ht="26.25" customHeight="1" hidden="1">
      <c r="A119" s="133"/>
      <c r="B119" s="134"/>
      <c r="C119" s="135" t="s">
        <v>293</v>
      </c>
      <c r="D119" s="136">
        <v>0</v>
      </c>
      <c r="E119" s="136">
        <v>0</v>
      </c>
      <c r="F119" s="137" t="e">
        <f t="shared" si="5"/>
        <v>#DIV/0!</v>
      </c>
      <c r="G119" s="138"/>
    </row>
    <row r="120" spans="1:7" s="125" customFormat="1" ht="18.75" customHeight="1">
      <c r="A120" s="169"/>
      <c r="B120" s="120" t="s">
        <v>1</v>
      </c>
      <c r="C120" s="152" t="s">
        <v>383</v>
      </c>
      <c r="D120" s="122">
        <f>SUM(D121,D127)</f>
        <v>14121293</v>
      </c>
      <c r="E120" s="122">
        <f>SUM(E121,E127)</f>
        <v>13730337.700000001</v>
      </c>
      <c r="F120" s="123">
        <f t="shared" si="5"/>
        <v>97.23144828168357</v>
      </c>
      <c r="G120" s="117"/>
    </row>
    <row r="121" spans="1:7" s="132" customFormat="1" ht="18.75" customHeight="1">
      <c r="A121" s="126"/>
      <c r="B121" s="127"/>
      <c r="C121" s="128" t="s">
        <v>1235</v>
      </c>
      <c r="D121" s="129">
        <f>SUM(D122,D125,D126)</f>
        <v>13875069</v>
      </c>
      <c r="E121" s="129">
        <f>SUM(E122,E125,E126)</f>
        <v>13516242.450000001</v>
      </c>
      <c r="F121" s="130">
        <f t="shared" si="5"/>
        <v>97.41387556342964</v>
      </c>
      <c r="G121" s="131"/>
    </row>
    <row r="122" spans="1:7" s="139" customFormat="1" ht="18" customHeight="1">
      <c r="A122" s="133"/>
      <c r="B122" s="134"/>
      <c r="C122" s="135" t="s">
        <v>1582</v>
      </c>
      <c r="D122" s="136">
        <f>SUM(D123,D124)</f>
        <v>13864069</v>
      </c>
      <c r="E122" s="136">
        <f>SUM(E123,E124)</f>
        <v>13505779.64</v>
      </c>
      <c r="F122" s="137">
        <f t="shared" si="5"/>
        <v>97.41569837830438</v>
      </c>
      <c r="G122" s="138"/>
    </row>
    <row r="123" spans="1:7" s="145" customFormat="1" ht="18.75" customHeight="1">
      <c r="A123" s="140"/>
      <c r="B123" s="141"/>
      <c r="C123" s="142" t="s">
        <v>1714</v>
      </c>
      <c r="D123" s="143">
        <v>10870012</v>
      </c>
      <c r="E123" s="143">
        <v>10848937.01</v>
      </c>
      <c r="F123" s="144">
        <f t="shared" si="5"/>
        <v>99.8061180613232</v>
      </c>
      <c r="G123" s="138"/>
    </row>
    <row r="124" spans="1:7" s="145" customFormat="1" ht="18.75" customHeight="1">
      <c r="A124" s="140"/>
      <c r="B124" s="141"/>
      <c r="C124" s="142" t="s">
        <v>1583</v>
      </c>
      <c r="D124" s="143">
        <v>2994057</v>
      </c>
      <c r="E124" s="143">
        <v>2656842.63</v>
      </c>
      <c r="F124" s="144">
        <f t="shared" si="5"/>
        <v>88.73720941184486</v>
      </c>
      <c r="G124" s="138"/>
    </row>
    <row r="125" spans="1:7" s="139" customFormat="1" ht="18.75" customHeight="1">
      <c r="A125" s="171"/>
      <c r="B125" s="134"/>
      <c r="C125" s="177" t="s">
        <v>1588</v>
      </c>
      <c r="D125" s="136">
        <v>11000</v>
      </c>
      <c r="E125" s="136">
        <v>10462.81</v>
      </c>
      <c r="F125" s="137">
        <f t="shared" si="5"/>
        <v>95.11645454545454</v>
      </c>
      <c r="G125" s="138"/>
    </row>
    <row r="126" spans="1:7" s="139" customFormat="1" ht="18.75" customHeight="1" hidden="1">
      <c r="A126" s="171"/>
      <c r="B126" s="134"/>
      <c r="C126" s="177" t="s">
        <v>1596</v>
      </c>
      <c r="D126" s="136">
        <v>0</v>
      </c>
      <c r="E126" s="136">
        <v>0</v>
      </c>
      <c r="F126" s="137" t="e">
        <f t="shared" si="5"/>
        <v>#DIV/0!</v>
      </c>
      <c r="G126" s="138"/>
    </row>
    <row r="127" spans="1:7" s="132" customFormat="1" ht="18.75" customHeight="1">
      <c r="A127" s="126"/>
      <c r="B127" s="127"/>
      <c r="C127" s="128" t="s">
        <v>1585</v>
      </c>
      <c r="D127" s="129">
        <f>SUM(D128)</f>
        <v>246224</v>
      </c>
      <c r="E127" s="129">
        <f>SUM(E128)</f>
        <v>214095.25</v>
      </c>
      <c r="F127" s="130">
        <f aca="true" t="shared" si="7" ref="F127:F182">E127/D127*100</f>
        <v>86.95141415946456</v>
      </c>
      <c r="G127" s="131"/>
    </row>
    <row r="128" spans="1:7" s="139" customFormat="1" ht="25.5" customHeight="1">
      <c r="A128" s="133"/>
      <c r="B128" s="134"/>
      <c r="C128" s="135" t="s">
        <v>293</v>
      </c>
      <c r="D128" s="136">
        <v>246224</v>
      </c>
      <c r="E128" s="136">
        <v>214095.25</v>
      </c>
      <c r="F128" s="137">
        <f t="shared" si="7"/>
        <v>86.95141415946456</v>
      </c>
      <c r="G128" s="138"/>
    </row>
    <row r="129" spans="1:7" s="125" customFormat="1" ht="18.75" customHeight="1" hidden="1">
      <c r="A129" s="169"/>
      <c r="B129" s="120" t="s">
        <v>296</v>
      </c>
      <c r="C129" s="152" t="s">
        <v>297</v>
      </c>
      <c r="D129" s="122">
        <f>SUM(D130)</f>
        <v>0</v>
      </c>
      <c r="E129" s="122">
        <f>SUM(E130)</f>
        <v>0</v>
      </c>
      <c r="F129" s="123" t="e">
        <f t="shared" si="7"/>
        <v>#DIV/0!</v>
      </c>
      <c r="G129" s="117"/>
    </row>
    <row r="130" spans="1:7" s="132" customFormat="1" ht="18.75" customHeight="1" hidden="1">
      <c r="A130" s="126"/>
      <c r="B130" s="127"/>
      <c r="C130" s="128" t="s">
        <v>1235</v>
      </c>
      <c r="D130" s="129">
        <f>SUM(D131,D134)</f>
        <v>0</v>
      </c>
      <c r="E130" s="129">
        <f>SUM(E131,E134)</f>
        <v>0</v>
      </c>
      <c r="F130" s="130" t="e">
        <f t="shared" si="7"/>
        <v>#DIV/0!</v>
      </c>
      <c r="G130" s="131"/>
    </row>
    <row r="131" spans="1:7" s="139" customFormat="1" ht="18" customHeight="1" hidden="1">
      <c r="A131" s="133"/>
      <c r="B131" s="134"/>
      <c r="C131" s="135" t="s">
        <v>1582</v>
      </c>
      <c r="D131" s="136">
        <f>SUM(D132,D133)</f>
        <v>0</v>
      </c>
      <c r="E131" s="136">
        <f>SUM(E132,E133)</f>
        <v>0</v>
      </c>
      <c r="F131" s="137" t="e">
        <f t="shared" si="7"/>
        <v>#DIV/0!</v>
      </c>
      <c r="G131" s="138"/>
    </row>
    <row r="132" spans="1:7" s="145" customFormat="1" ht="18.75" customHeight="1" hidden="1">
      <c r="A132" s="140"/>
      <c r="B132" s="141"/>
      <c r="C132" s="142" t="s">
        <v>1714</v>
      </c>
      <c r="D132" s="143">
        <v>0</v>
      </c>
      <c r="E132" s="143">
        <v>0</v>
      </c>
      <c r="F132" s="144" t="e">
        <f t="shared" si="7"/>
        <v>#DIV/0!</v>
      </c>
      <c r="G132" s="138"/>
    </row>
    <row r="133" spans="1:7" s="145" customFormat="1" ht="18.75" customHeight="1" hidden="1">
      <c r="A133" s="140"/>
      <c r="B133" s="141"/>
      <c r="C133" s="142" t="s">
        <v>1583</v>
      </c>
      <c r="D133" s="143">
        <v>0</v>
      </c>
      <c r="E133" s="143">
        <v>0</v>
      </c>
      <c r="F133" s="144" t="e">
        <f t="shared" si="7"/>
        <v>#DIV/0!</v>
      </c>
      <c r="G133" s="138"/>
    </row>
    <row r="134" spans="1:7" s="139" customFormat="1" ht="18.75" customHeight="1" hidden="1">
      <c r="A134" s="171"/>
      <c r="B134" s="134"/>
      <c r="C134" s="177" t="s">
        <v>1588</v>
      </c>
      <c r="D134" s="136">
        <v>0</v>
      </c>
      <c r="E134" s="136">
        <v>0</v>
      </c>
      <c r="F134" s="137" t="e">
        <f t="shared" si="7"/>
        <v>#DIV/0!</v>
      </c>
      <c r="G134" s="138"/>
    </row>
    <row r="135" spans="1:8" s="178" customFormat="1" ht="18.75" customHeight="1">
      <c r="A135" s="169"/>
      <c r="B135" s="120" t="s">
        <v>920</v>
      </c>
      <c r="C135" s="152" t="s">
        <v>922</v>
      </c>
      <c r="D135" s="122">
        <f>SUM(D136)</f>
        <v>1263400</v>
      </c>
      <c r="E135" s="122">
        <f>SUM(E136)</f>
        <v>1184950.32</v>
      </c>
      <c r="F135" s="123">
        <f t="shared" si="7"/>
        <v>93.7905904701599</v>
      </c>
      <c r="G135" s="138"/>
      <c r="H135" s="139"/>
    </row>
    <row r="136" spans="1:7" s="132" customFormat="1" ht="18.75" customHeight="1">
      <c r="A136" s="126"/>
      <c r="B136" s="127"/>
      <c r="C136" s="128" t="s">
        <v>1235</v>
      </c>
      <c r="D136" s="129">
        <f>SUM(D137,D140)</f>
        <v>1263400</v>
      </c>
      <c r="E136" s="129">
        <f>SUM(E137,E140)</f>
        <v>1184950.32</v>
      </c>
      <c r="F136" s="130">
        <f t="shared" si="7"/>
        <v>93.7905904701599</v>
      </c>
      <c r="G136" s="131"/>
    </row>
    <row r="137" spans="1:7" s="139" customFormat="1" ht="18" customHeight="1">
      <c r="A137" s="133"/>
      <c r="B137" s="134"/>
      <c r="C137" s="135" t="s">
        <v>1582</v>
      </c>
      <c r="D137" s="136">
        <f>SUM(D138,D139)</f>
        <v>1257400</v>
      </c>
      <c r="E137" s="136">
        <f>SUM(E138,E139)</f>
        <v>1178950.32</v>
      </c>
      <c r="F137" s="137">
        <f t="shared" si="7"/>
        <v>93.76096071258152</v>
      </c>
      <c r="G137" s="138"/>
    </row>
    <row r="138" spans="1:7" s="145" customFormat="1" ht="18.75" customHeight="1">
      <c r="A138" s="140"/>
      <c r="B138" s="141"/>
      <c r="C138" s="142" t="s">
        <v>1714</v>
      </c>
      <c r="D138" s="143">
        <v>10400</v>
      </c>
      <c r="E138" s="143">
        <v>7651.3</v>
      </c>
      <c r="F138" s="144">
        <f t="shared" si="7"/>
        <v>73.57019230769231</v>
      </c>
      <c r="G138" s="138"/>
    </row>
    <row r="139" spans="1:7" s="145" customFormat="1" ht="18.75" customHeight="1">
      <c r="A139" s="140"/>
      <c r="B139" s="141"/>
      <c r="C139" s="142" t="s">
        <v>1583</v>
      </c>
      <c r="D139" s="143">
        <v>1247000</v>
      </c>
      <c r="E139" s="143">
        <v>1171299.02</v>
      </c>
      <c r="F139" s="144">
        <f t="shared" si="7"/>
        <v>93.92935204490777</v>
      </c>
      <c r="G139" s="138"/>
    </row>
    <row r="140" spans="1:7" s="145" customFormat="1" ht="18.75" customHeight="1">
      <c r="A140" s="1681"/>
      <c r="B140" s="141"/>
      <c r="C140" s="177" t="s">
        <v>1588</v>
      </c>
      <c r="D140" s="136">
        <v>6000</v>
      </c>
      <c r="E140" s="136">
        <v>6000</v>
      </c>
      <c r="F140" s="137">
        <f t="shared" si="7"/>
        <v>100</v>
      </c>
      <c r="G140" s="138"/>
    </row>
    <row r="141" spans="1:8" s="178" customFormat="1" ht="18.75" customHeight="1">
      <c r="A141" s="169"/>
      <c r="B141" s="120" t="s">
        <v>3</v>
      </c>
      <c r="C141" s="152" t="s">
        <v>215</v>
      </c>
      <c r="D141" s="122">
        <f>SUM(D142,D151)</f>
        <v>503752</v>
      </c>
      <c r="E141" s="122">
        <f>SUM(E142,E151)</f>
        <v>462977.27</v>
      </c>
      <c r="F141" s="123">
        <f t="shared" si="7"/>
        <v>91.90579292985439</v>
      </c>
      <c r="G141" s="138"/>
      <c r="H141" s="139"/>
    </row>
    <row r="142" spans="1:7" s="132" customFormat="1" ht="18.75" customHeight="1">
      <c r="A142" s="126"/>
      <c r="B142" s="127"/>
      <c r="C142" s="128" t="s">
        <v>1235</v>
      </c>
      <c r="D142" s="129">
        <f>SUM(D143,D146,D148,D149,D150)</f>
        <v>269752</v>
      </c>
      <c r="E142" s="129">
        <f>SUM(E143,E146,E148,E149,E150)</f>
        <v>229615.03</v>
      </c>
      <c r="F142" s="130">
        <f t="shared" si="7"/>
        <v>85.12078872445802</v>
      </c>
      <c r="G142" s="131"/>
    </row>
    <row r="143" spans="1:7" s="139" customFormat="1" ht="18" customHeight="1">
      <c r="A143" s="133"/>
      <c r="B143" s="134"/>
      <c r="C143" s="135" t="s">
        <v>1582</v>
      </c>
      <c r="D143" s="136">
        <f>SUM(D144,D145)</f>
        <v>268752</v>
      </c>
      <c r="E143" s="136">
        <f>SUM(E144,E145)</f>
        <v>228615.03</v>
      </c>
      <c r="F143" s="137">
        <f t="shared" si="7"/>
        <v>85.0654246293981</v>
      </c>
      <c r="G143" s="138"/>
    </row>
    <row r="144" spans="1:7" s="266" customFormat="1" ht="18.75" customHeight="1">
      <c r="A144" s="263"/>
      <c r="B144" s="264"/>
      <c r="C144" s="1682" t="s">
        <v>1714</v>
      </c>
      <c r="D144" s="1683">
        <v>6000</v>
      </c>
      <c r="E144" s="1683">
        <v>0</v>
      </c>
      <c r="F144" s="1684">
        <f t="shared" si="7"/>
        <v>0</v>
      </c>
      <c r="G144" s="265"/>
    </row>
    <row r="145" spans="1:7" s="35" customFormat="1" ht="27" customHeight="1">
      <c r="A145" s="30"/>
      <c r="B145" s="31"/>
      <c r="C145" s="1682" t="s">
        <v>179</v>
      </c>
      <c r="D145" s="1683">
        <v>262752</v>
      </c>
      <c r="E145" s="1683">
        <v>228615.03</v>
      </c>
      <c r="F145" s="1684">
        <f t="shared" si="7"/>
        <v>87.00791240409207</v>
      </c>
      <c r="G145" s="28"/>
    </row>
    <row r="146" spans="1:7" s="35" customFormat="1" ht="18.75" customHeight="1" hidden="1">
      <c r="A146" s="30"/>
      <c r="B146" s="31"/>
      <c r="C146" s="13" t="s">
        <v>1595</v>
      </c>
      <c r="D146" s="14">
        <f>SUM(D147)</f>
        <v>0</v>
      </c>
      <c r="E146" s="14">
        <f>SUM(E147)</f>
        <v>0</v>
      </c>
      <c r="F146" s="27" t="e">
        <f t="shared" si="7"/>
        <v>#DIV/0!</v>
      </c>
      <c r="G146" s="28"/>
    </row>
    <row r="147" spans="1:7" s="35" customFormat="1" ht="18.75" customHeight="1" hidden="1">
      <c r="A147" s="30"/>
      <c r="B147" s="31"/>
      <c r="C147" s="32" t="s">
        <v>100</v>
      </c>
      <c r="D147" s="33"/>
      <c r="E147" s="33"/>
      <c r="F147" s="34" t="e">
        <f>E147/D147*100</f>
        <v>#DIV/0!</v>
      </c>
      <c r="G147" s="28"/>
    </row>
    <row r="148" spans="1:7" s="29" customFormat="1" ht="18.75" customHeight="1" hidden="1">
      <c r="A148" s="25"/>
      <c r="B148" s="26"/>
      <c r="C148" s="13" t="s">
        <v>1584</v>
      </c>
      <c r="D148" s="14"/>
      <c r="E148" s="14"/>
      <c r="F148" s="27" t="e">
        <f t="shared" si="7"/>
        <v>#DIV/0!</v>
      </c>
      <c r="G148" s="36"/>
    </row>
    <row r="149" spans="1:7" s="29" customFormat="1" ht="18.75" customHeight="1" hidden="1">
      <c r="A149" s="25"/>
      <c r="B149" s="26"/>
      <c r="C149" s="13" t="s">
        <v>1596</v>
      </c>
      <c r="D149" s="14">
        <v>0</v>
      </c>
      <c r="E149" s="14">
        <v>0</v>
      </c>
      <c r="F149" s="27" t="e">
        <f>E149/D149*100</f>
        <v>#DIV/0!</v>
      </c>
      <c r="G149" s="36"/>
    </row>
    <row r="150" spans="1:7" s="29" customFormat="1" ht="18.75" customHeight="1">
      <c r="A150" s="25"/>
      <c r="B150" s="26"/>
      <c r="C150" s="177" t="s">
        <v>1588</v>
      </c>
      <c r="D150" s="136">
        <v>1000</v>
      </c>
      <c r="E150" s="136">
        <v>1000</v>
      </c>
      <c r="F150" s="137">
        <f>E150/D150*100</f>
        <v>100</v>
      </c>
      <c r="G150" s="36"/>
    </row>
    <row r="151" spans="1:7" s="132" customFormat="1" ht="18.75" customHeight="1">
      <c r="A151" s="126"/>
      <c r="B151" s="127"/>
      <c r="C151" s="128" t="s">
        <v>1585</v>
      </c>
      <c r="D151" s="129">
        <f>SUM(D152)</f>
        <v>234000</v>
      </c>
      <c r="E151" s="129">
        <f>SUM(E152)</f>
        <v>233362.24</v>
      </c>
      <c r="F151" s="130">
        <f t="shared" si="7"/>
        <v>99.72745299145299</v>
      </c>
      <c r="G151" s="131"/>
    </row>
    <row r="152" spans="1:7" s="139" customFormat="1" ht="24.75" customHeight="1">
      <c r="A152" s="133"/>
      <c r="B152" s="134"/>
      <c r="C152" s="135" t="s">
        <v>293</v>
      </c>
      <c r="D152" s="136">
        <v>234000</v>
      </c>
      <c r="E152" s="136">
        <v>233362.24</v>
      </c>
      <c r="F152" s="137">
        <f t="shared" si="7"/>
        <v>99.72745299145299</v>
      </c>
      <c r="G152" s="138"/>
    </row>
    <row r="153" spans="1:8" s="178" customFormat="1" ht="51.75" customHeight="1">
      <c r="A153" s="179" t="s">
        <v>1215</v>
      </c>
      <c r="B153" s="113"/>
      <c r="C153" s="114" t="s">
        <v>4</v>
      </c>
      <c r="D153" s="180">
        <f>SUM(D154,D158,D164)</f>
        <v>7164</v>
      </c>
      <c r="E153" s="180">
        <f>SUM(E154,E158,E164)</f>
        <v>7162.7</v>
      </c>
      <c r="F153" s="116">
        <f t="shared" si="7"/>
        <v>99.9818537130095</v>
      </c>
      <c r="G153" s="138"/>
      <c r="H153" s="139"/>
    </row>
    <row r="154" spans="1:8" s="178" customFormat="1" ht="26.25" customHeight="1">
      <c r="A154" s="169"/>
      <c r="B154" s="181" t="s">
        <v>1167</v>
      </c>
      <c r="C154" s="121" t="s">
        <v>1726</v>
      </c>
      <c r="D154" s="182">
        <f>D155</f>
        <v>7164</v>
      </c>
      <c r="E154" s="122">
        <f>E155</f>
        <v>7162.7</v>
      </c>
      <c r="F154" s="123">
        <f t="shared" si="7"/>
        <v>99.9818537130095</v>
      </c>
      <c r="G154" s="138"/>
      <c r="H154" s="139"/>
    </row>
    <row r="155" spans="1:7" s="132" customFormat="1" ht="18.75" customHeight="1">
      <c r="A155" s="126"/>
      <c r="B155" s="127"/>
      <c r="C155" s="128" t="s">
        <v>1235</v>
      </c>
      <c r="D155" s="129">
        <f>SUM(D156)</f>
        <v>7164</v>
      </c>
      <c r="E155" s="129">
        <f>SUM(E156)</f>
        <v>7162.7</v>
      </c>
      <c r="F155" s="130">
        <f t="shared" si="7"/>
        <v>99.9818537130095</v>
      </c>
      <c r="G155" s="131"/>
    </row>
    <row r="156" spans="1:7" s="139" customFormat="1" ht="18" customHeight="1">
      <c r="A156" s="133"/>
      <c r="B156" s="134"/>
      <c r="C156" s="135" t="s">
        <v>1582</v>
      </c>
      <c r="D156" s="136">
        <f>SUM(D157)</f>
        <v>7164</v>
      </c>
      <c r="E156" s="136">
        <f>SUM(E157)</f>
        <v>7162.7</v>
      </c>
      <c r="F156" s="137">
        <f t="shared" si="7"/>
        <v>99.9818537130095</v>
      </c>
      <c r="G156" s="138"/>
    </row>
    <row r="157" spans="1:7" s="145" customFormat="1" ht="18.75" customHeight="1">
      <c r="A157" s="140"/>
      <c r="B157" s="141"/>
      <c r="C157" s="142" t="s">
        <v>1714</v>
      </c>
      <c r="D157" s="143">
        <v>7164</v>
      </c>
      <c r="E157" s="143">
        <v>7162.7</v>
      </c>
      <c r="F157" s="144">
        <f t="shared" si="7"/>
        <v>99.9818537130095</v>
      </c>
      <c r="G157" s="138"/>
    </row>
    <row r="158" spans="1:8" s="178" customFormat="1" ht="16.5" customHeight="1" hidden="1">
      <c r="A158" s="169"/>
      <c r="B158" s="181" t="s">
        <v>538</v>
      </c>
      <c r="C158" s="121" t="s">
        <v>1589</v>
      </c>
      <c r="D158" s="182">
        <f>D159</f>
        <v>0</v>
      </c>
      <c r="E158" s="122">
        <f>E159</f>
        <v>0</v>
      </c>
      <c r="F158" s="123" t="e">
        <f t="shared" si="7"/>
        <v>#DIV/0!</v>
      </c>
      <c r="G158" s="138"/>
      <c r="H158" s="139"/>
    </row>
    <row r="159" spans="1:7" s="132" customFormat="1" ht="18.75" customHeight="1" hidden="1">
      <c r="A159" s="126"/>
      <c r="B159" s="127"/>
      <c r="C159" s="128" t="s">
        <v>1235</v>
      </c>
      <c r="D159" s="129">
        <f>SUM(D160,D163)</f>
        <v>0</v>
      </c>
      <c r="E159" s="129">
        <f>SUM(E160,E163)</f>
        <v>0</v>
      </c>
      <c r="F159" s="130" t="e">
        <f t="shared" si="7"/>
        <v>#DIV/0!</v>
      </c>
      <c r="G159" s="131"/>
    </row>
    <row r="160" spans="1:7" s="139" customFormat="1" ht="18" customHeight="1" hidden="1">
      <c r="A160" s="133"/>
      <c r="B160" s="134"/>
      <c r="C160" s="135" t="s">
        <v>1582</v>
      </c>
      <c r="D160" s="136">
        <f>SUM(D161,D162)</f>
        <v>0</v>
      </c>
      <c r="E160" s="136">
        <f>SUM(E161,E162)</f>
        <v>0</v>
      </c>
      <c r="F160" s="137" t="e">
        <f t="shared" si="7"/>
        <v>#DIV/0!</v>
      </c>
      <c r="G160" s="138"/>
    </row>
    <row r="161" spans="1:7" s="145" customFormat="1" ht="18.75" customHeight="1" hidden="1">
      <c r="A161" s="140"/>
      <c r="B161" s="141"/>
      <c r="C161" s="142" t="s">
        <v>1714</v>
      </c>
      <c r="D161" s="143">
        <v>0</v>
      </c>
      <c r="E161" s="143">
        <v>0</v>
      </c>
      <c r="F161" s="144" t="e">
        <f t="shared" si="7"/>
        <v>#DIV/0!</v>
      </c>
      <c r="G161" s="138"/>
    </row>
    <row r="162" spans="1:7" s="145" customFormat="1" ht="18.75" customHeight="1" hidden="1">
      <c r="A162" s="140"/>
      <c r="B162" s="141"/>
      <c r="C162" s="142" t="s">
        <v>1583</v>
      </c>
      <c r="D162" s="143">
        <v>0</v>
      </c>
      <c r="E162" s="143">
        <v>0</v>
      </c>
      <c r="F162" s="144" t="e">
        <f t="shared" si="7"/>
        <v>#DIV/0!</v>
      </c>
      <c r="G162" s="138"/>
    </row>
    <row r="163" spans="1:7" s="139" customFormat="1" ht="18.75" customHeight="1" hidden="1">
      <c r="A163" s="171"/>
      <c r="B163" s="134"/>
      <c r="C163" s="177" t="s">
        <v>1588</v>
      </c>
      <c r="D163" s="136">
        <v>0</v>
      </c>
      <c r="E163" s="136">
        <v>0</v>
      </c>
      <c r="F163" s="137" t="e">
        <f t="shared" si="7"/>
        <v>#DIV/0!</v>
      </c>
      <c r="G163" s="138"/>
    </row>
    <row r="164" spans="1:8" s="178" customFormat="1" ht="21" customHeight="1" hidden="1">
      <c r="A164" s="169"/>
      <c r="B164" s="181" t="s">
        <v>1649</v>
      </c>
      <c r="C164" s="121" t="s">
        <v>1650</v>
      </c>
      <c r="D164" s="182">
        <f>D165</f>
        <v>0</v>
      </c>
      <c r="E164" s="122">
        <f>E165</f>
        <v>0</v>
      </c>
      <c r="F164" s="123" t="e">
        <f aca="true" t="shared" si="8" ref="F164:F176">E164/D164*100</f>
        <v>#DIV/0!</v>
      </c>
      <c r="G164" s="138"/>
      <c r="H164" s="139"/>
    </row>
    <row r="165" spans="1:7" s="132" customFormat="1" ht="18.75" customHeight="1" hidden="1">
      <c r="A165" s="126"/>
      <c r="B165" s="127"/>
      <c r="C165" s="128" t="s">
        <v>1235</v>
      </c>
      <c r="D165" s="129">
        <f>SUM(D166,D169)</f>
        <v>0</v>
      </c>
      <c r="E165" s="129">
        <f>SUM(E166,E169)</f>
        <v>0</v>
      </c>
      <c r="F165" s="130" t="e">
        <f t="shared" si="8"/>
        <v>#DIV/0!</v>
      </c>
      <c r="G165" s="131"/>
    </row>
    <row r="166" spans="1:7" s="139" customFormat="1" ht="18" customHeight="1" hidden="1">
      <c r="A166" s="133"/>
      <c r="B166" s="134"/>
      <c r="C166" s="135" t="s">
        <v>1582</v>
      </c>
      <c r="D166" s="136">
        <f>SUM(D167,D168)</f>
        <v>0</v>
      </c>
      <c r="E166" s="136">
        <f>SUM(E167,E168)</f>
        <v>0</v>
      </c>
      <c r="F166" s="137" t="e">
        <f t="shared" si="8"/>
        <v>#DIV/0!</v>
      </c>
      <c r="G166" s="138"/>
    </row>
    <row r="167" spans="1:7" s="145" customFormat="1" ht="18.75" customHeight="1" hidden="1">
      <c r="A167" s="140"/>
      <c r="B167" s="141"/>
      <c r="C167" s="142" t="s">
        <v>1714</v>
      </c>
      <c r="D167" s="143">
        <v>0</v>
      </c>
      <c r="E167" s="143">
        <v>0</v>
      </c>
      <c r="F167" s="144" t="e">
        <f t="shared" si="8"/>
        <v>#DIV/0!</v>
      </c>
      <c r="G167" s="138"/>
    </row>
    <row r="168" spans="1:7" s="145" customFormat="1" ht="18.75" customHeight="1" hidden="1">
      <c r="A168" s="140"/>
      <c r="B168" s="141"/>
      <c r="C168" s="142" t="s">
        <v>1583</v>
      </c>
      <c r="D168" s="143">
        <v>0</v>
      </c>
      <c r="E168" s="143">
        <v>0</v>
      </c>
      <c r="F168" s="144" t="e">
        <f t="shared" si="8"/>
        <v>#DIV/0!</v>
      </c>
      <c r="G168" s="138"/>
    </row>
    <row r="169" spans="1:7" s="139" customFormat="1" ht="18.75" customHeight="1" hidden="1">
      <c r="A169" s="171"/>
      <c r="B169" s="134"/>
      <c r="C169" s="177" t="s">
        <v>1588</v>
      </c>
      <c r="D169" s="136">
        <v>0</v>
      </c>
      <c r="E169" s="136">
        <v>0</v>
      </c>
      <c r="F169" s="137" t="e">
        <f t="shared" si="8"/>
        <v>#DIV/0!</v>
      </c>
      <c r="G169" s="138"/>
    </row>
    <row r="170" spans="1:8" s="178" customFormat="1" ht="18.75" customHeight="1" hidden="1">
      <c r="A170" s="179" t="s">
        <v>442</v>
      </c>
      <c r="B170" s="113"/>
      <c r="C170" s="114" t="s">
        <v>445</v>
      </c>
      <c r="D170" s="115">
        <f>SUM(D171)</f>
        <v>0</v>
      </c>
      <c r="E170" s="115">
        <f>SUM(E171)</f>
        <v>0</v>
      </c>
      <c r="F170" s="116" t="e">
        <f t="shared" si="8"/>
        <v>#DIV/0!</v>
      </c>
      <c r="G170" s="138"/>
      <c r="H170" s="139"/>
    </row>
    <row r="171" spans="1:8" s="178" customFormat="1" ht="18.75" customHeight="1" hidden="1">
      <c r="A171" s="169"/>
      <c r="B171" s="120" t="s">
        <v>443</v>
      </c>
      <c r="C171" s="152" t="s">
        <v>444</v>
      </c>
      <c r="D171" s="122">
        <f>SUM(D172)</f>
        <v>0</v>
      </c>
      <c r="E171" s="122">
        <f>SUM(E172)</f>
        <v>0</v>
      </c>
      <c r="F171" s="123" t="e">
        <f t="shared" si="8"/>
        <v>#DIV/0!</v>
      </c>
      <c r="G171" s="138"/>
      <c r="H171" s="139"/>
    </row>
    <row r="172" spans="1:7" s="132" customFormat="1" ht="18.75" customHeight="1" hidden="1">
      <c r="A172" s="126"/>
      <c r="B172" s="127"/>
      <c r="C172" s="128" t="s">
        <v>1235</v>
      </c>
      <c r="D172" s="129">
        <f>SUM(D173,D176)</f>
        <v>0</v>
      </c>
      <c r="E172" s="129">
        <f>SUM(E173,E176)</f>
        <v>0</v>
      </c>
      <c r="F172" s="130" t="e">
        <f t="shared" si="8"/>
        <v>#DIV/0!</v>
      </c>
      <c r="G172" s="131"/>
    </row>
    <row r="173" spans="1:7" s="139" customFormat="1" ht="18" customHeight="1" hidden="1">
      <c r="A173" s="133"/>
      <c r="B173" s="134"/>
      <c r="C173" s="135" t="s">
        <v>1582</v>
      </c>
      <c r="D173" s="136">
        <f>SUM(D174,D175)</f>
        <v>0</v>
      </c>
      <c r="E173" s="136">
        <f>SUM(E174,E175)</f>
        <v>0</v>
      </c>
      <c r="F173" s="137" t="e">
        <f t="shared" si="8"/>
        <v>#DIV/0!</v>
      </c>
      <c r="G173" s="138"/>
    </row>
    <row r="174" spans="1:7" s="145" customFormat="1" ht="18.75" customHeight="1" hidden="1">
      <c r="A174" s="140"/>
      <c r="B174" s="141"/>
      <c r="C174" s="142" t="s">
        <v>1714</v>
      </c>
      <c r="D174" s="143">
        <v>0</v>
      </c>
      <c r="E174" s="143">
        <v>0</v>
      </c>
      <c r="F174" s="144" t="e">
        <f t="shared" si="8"/>
        <v>#DIV/0!</v>
      </c>
      <c r="G174" s="138"/>
    </row>
    <row r="175" spans="1:7" s="145" customFormat="1" ht="18.75" customHeight="1" hidden="1">
      <c r="A175" s="140"/>
      <c r="B175" s="141"/>
      <c r="C175" s="142" t="s">
        <v>1583</v>
      </c>
      <c r="D175" s="143">
        <v>0</v>
      </c>
      <c r="E175" s="143">
        <v>0</v>
      </c>
      <c r="F175" s="144" t="e">
        <f t="shared" si="8"/>
        <v>#DIV/0!</v>
      </c>
      <c r="G175" s="138"/>
    </row>
    <row r="176" spans="1:7" s="139" customFormat="1" ht="18.75" customHeight="1" hidden="1">
      <c r="A176" s="171"/>
      <c r="B176" s="134"/>
      <c r="C176" s="177" t="s">
        <v>1588</v>
      </c>
      <c r="D176" s="136">
        <v>0</v>
      </c>
      <c r="E176" s="136">
        <v>0</v>
      </c>
      <c r="F176" s="137" t="e">
        <f t="shared" si="8"/>
        <v>#DIV/0!</v>
      </c>
      <c r="G176" s="138"/>
    </row>
    <row r="177" spans="1:8" s="178" customFormat="1" ht="27.75" customHeight="1">
      <c r="A177" s="179" t="s">
        <v>5</v>
      </c>
      <c r="B177" s="113"/>
      <c r="C177" s="114" t="s">
        <v>1547</v>
      </c>
      <c r="D177" s="115">
        <f>SUM(D178,D187,D191,D197,D205,D209)</f>
        <v>783406</v>
      </c>
      <c r="E177" s="115">
        <f>SUM(E178,E187,E191,E197,E205,E209)</f>
        <v>597630.4299999999</v>
      </c>
      <c r="F177" s="116">
        <f t="shared" si="7"/>
        <v>76.28616962341364</v>
      </c>
      <c r="G177" s="138"/>
      <c r="H177" s="139"/>
    </row>
    <row r="178" spans="1:8" s="178" customFormat="1" ht="18.75" customHeight="1">
      <c r="A178" s="169"/>
      <c r="B178" s="120" t="s">
        <v>1729</v>
      </c>
      <c r="C178" s="152" t="s">
        <v>1730</v>
      </c>
      <c r="D178" s="122">
        <f>SUM(D179,D185)</f>
        <v>142908</v>
      </c>
      <c r="E178" s="122">
        <f>SUM(E179,E185)</f>
        <v>131593.08</v>
      </c>
      <c r="F178" s="123">
        <f t="shared" si="7"/>
        <v>92.08237467461583</v>
      </c>
      <c r="G178" s="138"/>
      <c r="H178" s="139"/>
    </row>
    <row r="179" spans="1:7" s="132" customFormat="1" ht="18.75" customHeight="1">
      <c r="A179" s="126"/>
      <c r="B179" s="127"/>
      <c r="C179" s="128" t="s">
        <v>1235</v>
      </c>
      <c r="D179" s="129">
        <f>SUM(D180,D183,D184)</f>
        <v>142908</v>
      </c>
      <c r="E179" s="129">
        <f>SUM(E180,E183,E184)</f>
        <v>131593.08</v>
      </c>
      <c r="F179" s="130">
        <f t="shared" si="7"/>
        <v>92.08237467461583</v>
      </c>
      <c r="G179" s="131"/>
    </row>
    <row r="180" spans="1:7" s="139" customFormat="1" ht="18" customHeight="1">
      <c r="A180" s="133"/>
      <c r="B180" s="134"/>
      <c r="C180" s="135" t="s">
        <v>1582</v>
      </c>
      <c r="D180" s="136">
        <f>SUM(D181,D182)</f>
        <v>141291</v>
      </c>
      <c r="E180" s="136">
        <f>SUM(E181,E182)</f>
        <v>129976.68</v>
      </c>
      <c r="F180" s="137">
        <f t="shared" si="7"/>
        <v>91.99218633883261</v>
      </c>
      <c r="G180" s="138"/>
    </row>
    <row r="181" spans="1:7" s="145" customFormat="1" ht="18.75" customHeight="1">
      <c r="A181" s="140"/>
      <c r="B181" s="141"/>
      <c r="C181" s="142" t="s">
        <v>1714</v>
      </c>
      <c r="D181" s="143">
        <v>51228</v>
      </c>
      <c r="E181" s="143">
        <v>45029.04</v>
      </c>
      <c r="F181" s="144">
        <f t="shared" si="7"/>
        <v>87.8992738346217</v>
      </c>
      <c r="G181" s="138"/>
    </row>
    <row r="182" spans="1:7" s="145" customFormat="1" ht="18.75" customHeight="1">
      <c r="A182" s="140"/>
      <c r="B182" s="141"/>
      <c r="C182" s="142" t="s">
        <v>1583</v>
      </c>
      <c r="D182" s="143">
        <v>90063</v>
      </c>
      <c r="E182" s="143">
        <v>84947.64</v>
      </c>
      <c r="F182" s="144">
        <f t="shared" si="7"/>
        <v>94.32024249691882</v>
      </c>
      <c r="G182" s="138"/>
    </row>
    <row r="183" spans="1:7" s="139" customFormat="1" ht="18.75" customHeight="1">
      <c r="A183" s="171"/>
      <c r="B183" s="134"/>
      <c r="C183" s="177" t="s">
        <v>1588</v>
      </c>
      <c r="D183" s="136">
        <v>1617</v>
      </c>
      <c r="E183" s="136">
        <v>1616.4</v>
      </c>
      <c r="F183" s="137">
        <f aca="true" t="shared" si="9" ref="F183:F235">E183/D183*100</f>
        <v>99.96289424860854</v>
      </c>
      <c r="G183" s="138"/>
    </row>
    <row r="184" spans="1:7" s="139" customFormat="1" ht="18.75" customHeight="1" hidden="1">
      <c r="A184" s="133"/>
      <c r="B184" s="134"/>
      <c r="C184" s="135" t="s">
        <v>1596</v>
      </c>
      <c r="D184" s="136">
        <v>0</v>
      </c>
      <c r="E184" s="136">
        <v>0</v>
      </c>
      <c r="F184" s="137" t="e">
        <f>E184/D184*100</f>
        <v>#DIV/0!</v>
      </c>
      <c r="G184" s="151"/>
    </row>
    <row r="185" spans="1:7" s="132" customFormat="1" ht="18.75" customHeight="1" hidden="1">
      <c r="A185" s="126"/>
      <c r="B185" s="127"/>
      <c r="C185" s="128" t="s">
        <v>1585</v>
      </c>
      <c r="D185" s="129">
        <f>SUM(D186)</f>
        <v>0</v>
      </c>
      <c r="E185" s="129">
        <f>SUM(E186)</f>
        <v>0</v>
      </c>
      <c r="F185" s="130" t="e">
        <f t="shared" si="9"/>
        <v>#DIV/0!</v>
      </c>
      <c r="G185" s="131"/>
    </row>
    <row r="186" spans="1:7" s="139" customFormat="1" ht="18" customHeight="1" hidden="1">
      <c r="A186" s="133"/>
      <c r="B186" s="134"/>
      <c r="C186" s="135" t="s">
        <v>1596</v>
      </c>
      <c r="D186" s="136">
        <v>0</v>
      </c>
      <c r="E186" s="136">
        <v>0</v>
      </c>
      <c r="F186" s="137" t="e">
        <f t="shared" si="9"/>
        <v>#DIV/0!</v>
      </c>
      <c r="G186" s="138"/>
    </row>
    <row r="187" spans="1:8" s="178" customFormat="1" ht="18.75" customHeight="1" hidden="1">
      <c r="A187" s="169"/>
      <c r="B187" s="120" t="s">
        <v>7</v>
      </c>
      <c r="C187" s="176" t="s">
        <v>8</v>
      </c>
      <c r="D187" s="122">
        <f>SUM(D190)</f>
        <v>0</v>
      </c>
      <c r="E187" s="122">
        <f>SUM(E190)</f>
        <v>0</v>
      </c>
      <c r="F187" s="123" t="e">
        <f t="shared" si="9"/>
        <v>#DIV/0!</v>
      </c>
      <c r="G187" s="138"/>
      <c r="H187" s="139"/>
    </row>
    <row r="188" spans="1:7" s="132" customFormat="1" ht="18.75" customHeight="1" hidden="1">
      <c r="A188" s="126"/>
      <c r="B188" s="127"/>
      <c r="C188" s="128" t="s">
        <v>1235</v>
      </c>
      <c r="D188" s="129">
        <f>SUM(D189)</f>
        <v>0</v>
      </c>
      <c r="E188" s="129">
        <f>SUM(E189)</f>
        <v>0</v>
      </c>
      <c r="F188" s="130" t="e">
        <f t="shared" si="9"/>
        <v>#DIV/0!</v>
      </c>
      <c r="G188" s="131"/>
    </row>
    <row r="189" spans="1:7" s="139" customFormat="1" ht="18" customHeight="1" hidden="1">
      <c r="A189" s="133"/>
      <c r="B189" s="134"/>
      <c r="C189" s="135" t="s">
        <v>1582</v>
      </c>
      <c r="D189" s="136">
        <f>SUM(D190)</f>
        <v>0</v>
      </c>
      <c r="E189" s="136">
        <f>SUM(E190)</f>
        <v>0</v>
      </c>
      <c r="F189" s="137" t="e">
        <f t="shared" si="9"/>
        <v>#DIV/0!</v>
      </c>
      <c r="G189" s="138"/>
    </row>
    <row r="190" spans="1:7" s="145" customFormat="1" ht="18.75" customHeight="1" hidden="1">
      <c r="A190" s="140"/>
      <c r="B190" s="141"/>
      <c r="C190" s="142" t="s">
        <v>1583</v>
      </c>
      <c r="D190" s="143">
        <v>0</v>
      </c>
      <c r="E190" s="143">
        <v>0</v>
      </c>
      <c r="F190" s="144" t="e">
        <f t="shared" si="9"/>
        <v>#DIV/0!</v>
      </c>
      <c r="G190" s="138"/>
    </row>
    <row r="191" spans="1:7" s="139" customFormat="1" ht="18.75" customHeight="1">
      <c r="A191" s="169"/>
      <c r="B191" s="120" t="s">
        <v>446</v>
      </c>
      <c r="C191" s="176" t="s">
        <v>906</v>
      </c>
      <c r="D191" s="122">
        <f>SUM(D192)</f>
        <v>19000</v>
      </c>
      <c r="E191" s="122">
        <f>SUM(E192)</f>
        <v>19000</v>
      </c>
      <c r="F191" s="123">
        <f aca="true" t="shared" si="10" ref="F191:F196">E191/D191*100</f>
        <v>100</v>
      </c>
      <c r="G191" s="138"/>
    </row>
    <row r="192" spans="1:7" s="132" customFormat="1" ht="18.75" customHeight="1">
      <c r="A192" s="126"/>
      <c r="B192" s="127"/>
      <c r="C192" s="128" t="s">
        <v>1235</v>
      </c>
      <c r="D192" s="129">
        <f>SUM(D193,D196)</f>
        <v>19000</v>
      </c>
      <c r="E192" s="129">
        <f>SUM(E193,E196)</f>
        <v>19000</v>
      </c>
      <c r="F192" s="130">
        <f t="shared" si="10"/>
        <v>100</v>
      </c>
      <c r="G192" s="131"/>
    </row>
    <row r="193" spans="1:7" s="139" customFormat="1" ht="18" customHeight="1" hidden="1">
      <c r="A193" s="133"/>
      <c r="B193" s="134"/>
      <c r="C193" s="135" t="s">
        <v>1582</v>
      </c>
      <c r="D193" s="136">
        <f>SUM(D194,D195)</f>
        <v>0</v>
      </c>
      <c r="E193" s="136">
        <f>SUM(E194,E195)</f>
        <v>0</v>
      </c>
      <c r="F193" s="137" t="e">
        <f t="shared" si="10"/>
        <v>#DIV/0!</v>
      </c>
      <c r="G193" s="138"/>
    </row>
    <row r="194" spans="1:7" s="145" customFormat="1" ht="18.75" customHeight="1" hidden="1">
      <c r="A194" s="140"/>
      <c r="B194" s="141"/>
      <c r="C194" s="142" t="s">
        <v>1714</v>
      </c>
      <c r="D194" s="143">
        <v>0</v>
      </c>
      <c r="E194" s="143">
        <v>0</v>
      </c>
      <c r="F194" s="144" t="e">
        <f t="shared" si="10"/>
        <v>#DIV/0!</v>
      </c>
      <c r="G194" s="138"/>
    </row>
    <row r="195" spans="1:7" s="145" customFormat="1" ht="18.75" customHeight="1" hidden="1">
      <c r="A195" s="140"/>
      <c r="B195" s="141"/>
      <c r="C195" s="142" t="s">
        <v>1583</v>
      </c>
      <c r="D195" s="143">
        <v>0</v>
      </c>
      <c r="E195" s="143">
        <v>0</v>
      </c>
      <c r="F195" s="144" t="e">
        <f t="shared" si="10"/>
        <v>#DIV/0!</v>
      </c>
      <c r="G195" s="138"/>
    </row>
    <row r="196" spans="1:7" s="139" customFormat="1" ht="18.75" customHeight="1">
      <c r="A196" s="171"/>
      <c r="B196" s="134"/>
      <c r="C196" s="135" t="s">
        <v>1584</v>
      </c>
      <c r="D196" s="136">
        <v>19000</v>
      </c>
      <c r="E196" s="136">
        <v>19000</v>
      </c>
      <c r="F196" s="137">
        <f t="shared" si="10"/>
        <v>100</v>
      </c>
      <c r="G196" s="151"/>
    </row>
    <row r="197" spans="1:7" s="139" customFormat="1" ht="18.75" customHeight="1">
      <c r="A197" s="169"/>
      <c r="B197" s="120" t="s">
        <v>398</v>
      </c>
      <c r="C197" s="176" t="s">
        <v>112</v>
      </c>
      <c r="D197" s="122">
        <f>SUM(D198,D203)</f>
        <v>371248</v>
      </c>
      <c r="E197" s="122">
        <f>SUM(E198,E203)</f>
        <v>262658.49</v>
      </c>
      <c r="F197" s="123">
        <f t="shared" si="9"/>
        <v>70.75014276171184</v>
      </c>
      <c r="G197" s="138"/>
    </row>
    <row r="198" spans="1:7" s="132" customFormat="1" ht="18.75" customHeight="1">
      <c r="A198" s="126"/>
      <c r="B198" s="127"/>
      <c r="C198" s="128" t="s">
        <v>1235</v>
      </c>
      <c r="D198" s="129">
        <f>SUM(D199,D202)</f>
        <v>367548</v>
      </c>
      <c r="E198" s="129">
        <f>SUM(E199,E202)</f>
        <v>258968.49</v>
      </c>
      <c r="F198" s="130">
        <f t="shared" si="9"/>
        <v>70.45841359495903</v>
      </c>
      <c r="G198" s="131"/>
    </row>
    <row r="199" spans="1:7" s="139" customFormat="1" ht="18" customHeight="1">
      <c r="A199" s="133"/>
      <c r="B199" s="134"/>
      <c r="C199" s="135" t="s">
        <v>1582</v>
      </c>
      <c r="D199" s="136">
        <f>SUM(D200,D201)</f>
        <v>359209</v>
      </c>
      <c r="E199" s="136">
        <f>SUM(E200,E201)</f>
        <v>250635.87</v>
      </c>
      <c r="F199" s="137">
        <f t="shared" si="9"/>
        <v>69.77438482888792</v>
      </c>
      <c r="G199" s="138"/>
    </row>
    <row r="200" spans="1:7" s="145" customFormat="1" ht="18.75" customHeight="1">
      <c r="A200" s="140"/>
      <c r="B200" s="141"/>
      <c r="C200" s="142" t="s">
        <v>1714</v>
      </c>
      <c r="D200" s="143">
        <v>330048</v>
      </c>
      <c r="E200" s="143">
        <v>226758.7</v>
      </c>
      <c r="F200" s="144">
        <f t="shared" si="9"/>
        <v>68.70476415551677</v>
      </c>
      <c r="G200" s="138"/>
    </row>
    <row r="201" spans="1:7" s="145" customFormat="1" ht="18.75" customHeight="1">
      <c r="A201" s="140"/>
      <c r="B201" s="141"/>
      <c r="C201" s="142" t="s">
        <v>1583</v>
      </c>
      <c r="D201" s="143">
        <v>29161</v>
      </c>
      <c r="E201" s="143">
        <v>23877.17</v>
      </c>
      <c r="F201" s="144">
        <f t="shared" si="9"/>
        <v>81.88049106683583</v>
      </c>
      <c r="G201" s="138"/>
    </row>
    <row r="202" spans="1:7" s="139" customFormat="1" ht="18.75" customHeight="1">
      <c r="A202" s="171"/>
      <c r="B202" s="134"/>
      <c r="C202" s="177" t="s">
        <v>1588</v>
      </c>
      <c r="D202" s="136">
        <v>8339</v>
      </c>
      <c r="E202" s="136">
        <v>8332.62</v>
      </c>
      <c r="F202" s="137">
        <f t="shared" si="9"/>
        <v>99.92349202542272</v>
      </c>
      <c r="G202" s="138"/>
    </row>
    <row r="203" spans="1:7" s="139" customFormat="1" ht="18.75" customHeight="1">
      <c r="A203" s="171"/>
      <c r="B203" s="134"/>
      <c r="C203" s="128" t="s">
        <v>1585</v>
      </c>
      <c r="D203" s="129">
        <f>SUM(D204)</f>
        <v>3700</v>
      </c>
      <c r="E203" s="129">
        <f>SUM(E204)</f>
        <v>3690</v>
      </c>
      <c r="F203" s="130">
        <f t="shared" si="9"/>
        <v>99.72972972972973</v>
      </c>
      <c r="G203" s="138"/>
    </row>
    <row r="204" spans="1:7" s="139" customFormat="1" ht="25.5" customHeight="1">
      <c r="A204" s="171"/>
      <c r="B204" s="134"/>
      <c r="C204" s="135" t="s">
        <v>293</v>
      </c>
      <c r="D204" s="136">
        <v>3700</v>
      </c>
      <c r="E204" s="136">
        <v>3690</v>
      </c>
      <c r="F204" s="137">
        <f t="shared" si="9"/>
        <v>99.72972972972973</v>
      </c>
      <c r="G204" s="138"/>
    </row>
    <row r="205" spans="1:7" s="125" customFormat="1" ht="18.75" customHeight="1">
      <c r="A205" s="169"/>
      <c r="B205" s="120" t="s">
        <v>1139</v>
      </c>
      <c r="C205" s="152" t="s">
        <v>1140</v>
      </c>
      <c r="D205" s="122">
        <f aca="true" t="shared" si="11" ref="D205:E207">SUM(D206)</f>
        <v>14800</v>
      </c>
      <c r="E205" s="122">
        <f t="shared" si="11"/>
        <v>5919.9</v>
      </c>
      <c r="F205" s="123">
        <f>E205/D205*100</f>
        <v>39.99932432432432</v>
      </c>
      <c r="G205" s="117"/>
    </row>
    <row r="206" spans="1:7" s="132" customFormat="1" ht="18.75" customHeight="1">
      <c r="A206" s="126"/>
      <c r="B206" s="127"/>
      <c r="C206" s="128" t="s">
        <v>1235</v>
      </c>
      <c r="D206" s="129">
        <f t="shared" si="11"/>
        <v>14800</v>
      </c>
      <c r="E206" s="129">
        <f t="shared" si="11"/>
        <v>5919.9</v>
      </c>
      <c r="F206" s="130">
        <f>E206/D206*100</f>
        <v>39.99932432432432</v>
      </c>
      <c r="G206" s="131"/>
    </row>
    <row r="207" spans="1:7" s="139" customFormat="1" ht="18" customHeight="1">
      <c r="A207" s="133"/>
      <c r="B207" s="134"/>
      <c r="C207" s="135" t="s">
        <v>1582</v>
      </c>
      <c r="D207" s="136">
        <f t="shared" si="11"/>
        <v>14800</v>
      </c>
      <c r="E207" s="136">
        <f t="shared" si="11"/>
        <v>5919.9</v>
      </c>
      <c r="F207" s="137">
        <f>E207/D207*100</f>
        <v>39.99932432432432</v>
      </c>
      <c r="G207" s="138"/>
    </row>
    <row r="208" spans="1:7" s="145" customFormat="1" ht="18.75" customHeight="1">
      <c r="A208" s="140"/>
      <c r="B208" s="141"/>
      <c r="C208" s="142" t="s">
        <v>1583</v>
      </c>
      <c r="D208" s="143">
        <v>14800</v>
      </c>
      <c r="E208" s="143">
        <v>5919.9</v>
      </c>
      <c r="F208" s="144">
        <f>E208/D208*100</f>
        <v>39.99932432432432</v>
      </c>
      <c r="G208" s="138"/>
    </row>
    <row r="209" spans="1:8" s="178" customFormat="1" ht="17.25" customHeight="1">
      <c r="A209" s="169"/>
      <c r="B209" s="120" t="s">
        <v>1731</v>
      </c>
      <c r="C209" s="176" t="s">
        <v>215</v>
      </c>
      <c r="D209" s="122">
        <f aca="true" t="shared" si="12" ref="D209:E211">SUM(D210)</f>
        <v>235450</v>
      </c>
      <c r="E209" s="122">
        <f t="shared" si="12"/>
        <v>178458.96</v>
      </c>
      <c r="F209" s="123">
        <f t="shared" si="9"/>
        <v>75.7948439159057</v>
      </c>
      <c r="G209" s="138"/>
      <c r="H209" s="139"/>
    </row>
    <row r="210" spans="1:7" s="132" customFormat="1" ht="18.75" customHeight="1">
      <c r="A210" s="126"/>
      <c r="B210" s="127"/>
      <c r="C210" s="128" t="s">
        <v>1235</v>
      </c>
      <c r="D210" s="129">
        <f t="shared" si="12"/>
        <v>235450</v>
      </c>
      <c r="E210" s="129">
        <f t="shared" si="12"/>
        <v>178458.96</v>
      </c>
      <c r="F210" s="130">
        <f t="shared" si="9"/>
        <v>75.7948439159057</v>
      </c>
      <c r="G210" s="131"/>
    </row>
    <row r="211" spans="1:7" s="139" customFormat="1" ht="18" customHeight="1">
      <c r="A211" s="133"/>
      <c r="B211" s="134"/>
      <c r="C211" s="135" t="s">
        <v>1582</v>
      </c>
      <c r="D211" s="136">
        <f t="shared" si="12"/>
        <v>235450</v>
      </c>
      <c r="E211" s="136">
        <f t="shared" si="12"/>
        <v>178458.96</v>
      </c>
      <c r="F211" s="137">
        <f t="shared" si="9"/>
        <v>75.7948439159057</v>
      </c>
      <c r="G211" s="138"/>
    </row>
    <row r="212" spans="1:7" s="145" customFormat="1" ht="18.75" customHeight="1">
      <c r="A212" s="140"/>
      <c r="B212" s="141"/>
      <c r="C212" s="142" t="s">
        <v>1583</v>
      </c>
      <c r="D212" s="143">
        <v>235450</v>
      </c>
      <c r="E212" s="143">
        <v>178458.96</v>
      </c>
      <c r="F212" s="144">
        <f t="shared" si="9"/>
        <v>75.7948439159057</v>
      </c>
      <c r="G212" s="138"/>
    </row>
    <row r="213" spans="1:7" s="125" customFormat="1" ht="65.25" customHeight="1" hidden="1">
      <c r="A213" s="170" t="s">
        <v>284</v>
      </c>
      <c r="B213" s="113"/>
      <c r="C213" s="114" t="s">
        <v>1738</v>
      </c>
      <c r="D213" s="115">
        <f aca="true" t="shared" si="13" ref="D213:E215">SUM(D214)</f>
        <v>0</v>
      </c>
      <c r="E213" s="115">
        <f t="shared" si="13"/>
        <v>0</v>
      </c>
      <c r="F213" s="116" t="e">
        <f t="shared" si="9"/>
        <v>#DIV/0!</v>
      </c>
      <c r="G213" s="117"/>
    </row>
    <row r="214" spans="1:7" s="139" customFormat="1" ht="27.75" customHeight="1" hidden="1">
      <c r="A214" s="169"/>
      <c r="B214" s="120" t="s">
        <v>1742</v>
      </c>
      <c r="C214" s="121" t="s">
        <v>1743</v>
      </c>
      <c r="D214" s="122">
        <f t="shared" si="13"/>
        <v>0</v>
      </c>
      <c r="E214" s="122">
        <f t="shared" si="13"/>
        <v>0</v>
      </c>
      <c r="F214" s="123" t="e">
        <f t="shared" si="9"/>
        <v>#DIV/0!</v>
      </c>
      <c r="G214" s="138"/>
    </row>
    <row r="215" spans="1:7" s="132" customFormat="1" ht="18.75" customHeight="1" hidden="1">
      <c r="A215" s="126"/>
      <c r="B215" s="127"/>
      <c r="C215" s="128" t="s">
        <v>1235</v>
      </c>
      <c r="D215" s="129">
        <f t="shared" si="13"/>
        <v>0</v>
      </c>
      <c r="E215" s="129">
        <f t="shared" si="13"/>
        <v>0</v>
      </c>
      <c r="F215" s="130" t="e">
        <f t="shared" si="9"/>
        <v>#DIV/0!</v>
      </c>
      <c r="G215" s="131"/>
    </row>
    <row r="216" spans="1:7" s="139" customFormat="1" ht="18" customHeight="1" hidden="1">
      <c r="A216" s="133"/>
      <c r="B216" s="134"/>
      <c r="C216" s="135" t="s">
        <v>1582</v>
      </c>
      <c r="D216" s="136">
        <f>SUM(D217,D218)</f>
        <v>0</v>
      </c>
      <c r="E216" s="136">
        <f>SUM(E217,E218)</f>
        <v>0</v>
      </c>
      <c r="F216" s="137" t="e">
        <f t="shared" si="9"/>
        <v>#DIV/0!</v>
      </c>
      <c r="G216" s="138"/>
    </row>
    <row r="217" spans="1:7" s="145" customFormat="1" ht="18.75" customHeight="1" hidden="1">
      <c r="A217" s="140"/>
      <c r="B217" s="141"/>
      <c r="C217" s="142" t="s">
        <v>1714</v>
      </c>
      <c r="D217" s="143">
        <v>0</v>
      </c>
      <c r="E217" s="143">
        <v>0</v>
      </c>
      <c r="F217" s="144" t="e">
        <f t="shared" si="9"/>
        <v>#DIV/0!</v>
      </c>
      <c r="G217" s="138"/>
    </row>
    <row r="218" spans="1:7" s="145" customFormat="1" ht="18.75" customHeight="1" hidden="1">
      <c r="A218" s="140"/>
      <c r="B218" s="141"/>
      <c r="C218" s="142" t="s">
        <v>1583</v>
      </c>
      <c r="D218" s="143">
        <v>0</v>
      </c>
      <c r="E218" s="143">
        <v>0</v>
      </c>
      <c r="F218" s="144" t="e">
        <f t="shared" si="9"/>
        <v>#DIV/0!</v>
      </c>
      <c r="G218" s="138"/>
    </row>
    <row r="219" spans="1:8" s="178" customFormat="1" ht="18.75" customHeight="1">
      <c r="A219" s="170" t="s">
        <v>9</v>
      </c>
      <c r="B219" s="113"/>
      <c r="C219" s="154" t="s">
        <v>1745</v>
      </c>
      <c r="D219" s="115">
        <f>D220+D225</f>
        <v>8794103</v>
      </c>
      <c r="E219" s="115">
        <f>E220+E225</f>
        <v>5094308.15</v>
      </c>
      <c r="F219" s="116">
        <f t="shared" si="9"/>
        <v>57.92868414208932</v>
      </c>
      <c r="G219" s="138"/>
      <c r="H219" s="139"/>
    </row>
    <row r="220" spans="1:8" s="178" customFormat="1" ht="29.25" customHeight="1">
      <c r="A220" s="169"/>
      <c r="B220" s="120" t="s">
        <v>1746</v>
      </c>
      <c r="C220" s="121" t="s">
        <v>1751</v>
      </c>
      <c r="D220" s="122">
        <f>D221</f>
        <v>6746142</v>
      </c>
      <c r="E220" s="122">
        <f>E221</f>
        <v>5094308.15</v>
      </c>
      <c r="F220" s="123">
        <f t="shared" si="9"/>
        <v>75.51439252242244</v>
      </c>
      <c r="G220" s="138"/>
      <c r="H220" s="139"/>
    </row>
    <row r="221" spans="1:7" s="132" customFormat="1" ht="18.75" customHeight="1">
      <c r="A221" s="126"/>
      <c r="B221" s="127"/>
      <c r="C221" s="128" t="s">
        <v>1235</v>
      </c>
      <c r="D221" s="129">
        <f>SUM(D222,D223)</f>
        <v>6746142</v>
      </c>
      <c r="E221" s="129">
        <f>SUM(E222,E223)</f>
        <v>5094308.15</v>
      </c>
      <c r="F221" s="130">
        <f t="shared" si="9"/>
        <v>75.51439252242244</v>
      </c>
      <c r="G221" s="131"/>
    </row>
    <row r="222" spans="1:7" s="139" customFormat="1" ht="18" customHeight="1">
      <c r="A222" s="133"/>
      <c r="B222" s="134"/>
      <c r="C222" s="135" t="s">
        <v>1590</v>
      </c>
      <c r="D222" s="136">
        <v>6746142</v>
      </c>
      <c r="E222" s="136">
        <v>5094308.15</v>
      </c>
      <c r="F222" s="137">
        <f t="shared" si="9"/>
        <v>75.51439252242244</v>
      </c>
      <c r="G222" s="138"/>
    </row>
    <row r="223" spans="1:7" s="139" customFormat="1" ht="18" customHeight="1" hidden="1">
      <c r="A223" s="133"/>
      <c r="B223" s="134"/>
      <c r="C223" s="135" t="s">
        <v>1582</v>
      </c>
      <c r="D223" s="136">
        <f>SUM(D224)</f>
        <v>0</v>
      </c>
      <c r="E223" s="136">
        <f>SUM(E224)</f>
        <v>0</v>
      </c>
      <c r="F223" s="137" t="e">
        <f>E223/D223*100</f>
        <v>#DIV/0!</v>
      </c>
      <c r="G223" s="138"/>
    </row>
    <row r="224" spans="1:7" s="145" customFormat="1" ht="18.75" customHeight="1" hidden="1">
      <c r="A224" s="140"/>
      <c r="B224" s="141"/>
      <c r="C224" s="142" t="s">
        <v>1583</v>
      </c>
      <c r="D224" s="143">
        <v>0</v>
      </c>
      <c r="E224" s="143">
        <v>0</v>
      </c>
      <c r="F224" s="144" t="e">
        <f>E224/D224*100</f>
        <v>#DIV/0!</v>
      </c>
      <c r="G224" s="138"/>
    </row>
    <row r="225" spans="1:7" s="145" customFormat="1" ht="24.75" customHeight="1">
      <c r="A225" s="1681"/>
      <c r="B225" s="969" t="s">
        <v>1446</v>
      </c>
      <c r="C225" s="1685" t="s">
        <v>1447</v>
      </c>
      <c r="D225" s="143">
        <f>D226</f>
        <v>2047961</v>
      </c>
      <c r="E225" s="143">
        <f>E226</f>
        <v>0</v>
      </c>
      <c r="F225" s="137">
        <f t="shared" si="9"/>
        <v>0</v>
      </c>
      <c r="G225" s="138"/>
    </row>
    <row r="226" spans="1:7" s="145" customFormat="1" ht="18.75" customHeight="1">
      <c r="A226" s="1681"/>
      <c r="B226" s="969"/>
      <c r="C226" s="128" t="s">
        <v>1235</v>
      </c>
      <c r="D226" s="129">
        <f>SUM(D227)</f>
        <v>2047961</v>
      </c>
      <c r="E226" s="129">
        <f>SUM(E227)</f>
        <v>0</v>
      </c>
      <c r="F226" s="130">
        <f>E226/D226*100</f>
        <v>0</v>
      </c>
      <c r="G226" s="138"/>
    </row>
    <row r="227" spans="1:7" s="145" customFormat="1" ht="18.75" customHeight="1">
      <c r="A227" s="1681"/>
      <c r="B227" s="141"/>
      <c r="C227" s="985" t="s">
        <v>1448</v>
      </c>
      <c r="D227" s="1686">
        <v>2047961</v>
      </c>
      <c r="E227" s="143">
        <v>0</v>
      </c>
      <c r="F227" s="144">
        <f t="shared" si="9"/>
        <v>0</v>
      </c>
      <c r="G227" s="138"/>
    </row>
    <row r="228" spans="1:7" s="118" customFormat="1" ht="18.75" customHeight="1">
      <c r="A228" s="170" t="s">
        <v>10</v>
      </c>
      <c r="B228" s="113"/>
      <c r="C228" s="114" t="s">
        <v>11</v>
      </c>
      <c r="D228" s="115">
        <f>SUM(D229,D232)</f>
        <v>831973</v>
      </c>
      <c r="E228" s="115">
        <f>SUM(E229,E232)</f>
        <v>0</v>
      </c>
      <c r="F228" s="116">
        <f t="shared" si="9"/>
        <v>0</v>
      </c>
      <c r="G228" s="117"/>
    </row>
    <row r="229" spans="1:7" s="125" customFormat="1" ht="18.75" customHeight="1" hidden="1">
      <c r="A229" s="169"/>
      <c r="B229" s="120" t="s">
        <v>1203</v>
      </c>
      <c r="C229" s="121" t="s">
        <v>1204</v>
      </c>
      <c r="D229" s="122">
        <f>SUM(D230)</f>
        <v>0</v>
      </c>
      <c r="E229" s="122">
        <f>SUM(E230)</f>
        <v>0</v>
      </c>
      <c r="F229" s="123" t="e">
        <f>E229/D229*100</f>
        <v>#DIV/0!</v>
      </c>
      <c r="G229" s="124"/>
    </row>
    <row r="230" spans="1:7" s="132" customFormat="1" ht="18.75" customHeight="1" hidden="1">
      <c r="A230" s="126"/>
      <c r="B230" s="127"/>
      <c r="C230" s="128" t="s">
        <v>1235</v>
      </c>
      <c r="D230" s="129">
        <f>SUM(D231)</f>
        <v>0</v>
      </c>
      <c r="E230" s="129">
        <f>SUM(E231)</f>
        <v>0</v>
      </c>
      <c r="F230" s="130" t="e">
        <f>E230/D230*100</f>
        <v>#DIV/0!</v>
      </c>
      <c r="G230" s="131"/>
    </row>
    <row r="231" spans="1:7" s="139" customFormat="1" ht="18.75" customHeight="1" hidden="1">
      <c r="A231" s="171"/>
      <c r="B231" s="134"/>
      <c r="C231" s="135" t="s">
        <v>1584</v>
      </c>
      <c r="D231" s="136">
        <v>0</v>
      </c>
      <c r="E231" s="136">
        <v>0</v>
      </c>
      <c r="F231" s="137" t="e">
        <f>E231/D231*100</f>
        <v>#DIV/0!</v>
      </c>
      <c r="G231" s="151"/>
    </row>
    <row r="232" spans="1:7" s="125" customFormat="1" ht="18.75" customHeight="1">
      <c r="A232" s="169"/>
      <c r="B232" s="120" t="s">
        <v>1678</v>
      </c>
      <c r="C232" s="121" t="s">
        <v>1679</v>
      </c>
      <c r="D232" s="122">
        <f aca="true" t="shared" si="14" ref="D232:E234">SUM(D233)</f>
        <v>831973</v>
      </c>
      <c r="E232" s="122">
        <f t="shared" si="14"/>
        <v>0</v>
      </c>
      <c r="F232" s="123">
        <f t="shared" si="9"/>
        <v>0</v>
      </c>
      <c r="G232" s="117"/>
    </row>
    <row r="233" spans="1:7" s="132" customFormat="1" ht="18.75" customHeight="1">
      <c r="A233" s="126"/>
      <c r="B233" s="127"/>
      <c r="C233" s="128" t="s">
        <v>1235</v>
      </c>
      <c r="D233" s="129">
        <f t="shared" si="14"/>
        <v>831973</v>
      </c>
      <c r="E233" s="129">
        <f t="shared" si="14"/>
        <v>0</v>
      </c>
      <c r="F233" s="130">
        <f t="shared" si="9"/>
        <v>0</v>
      </c>
      <c r="G233" s="131"/>
    </row>
    <row r="234" spans="1:7" s="139" customFormat="1" ht="18" customHeight="1">
      <c r="A234" s="133"/>
      <c r="B234" s="134"/>
      <c r="C234" s="135" t="s">
        <v>1582</v>
      </c>
      <c r="D234" s="136">
        <f t="shared" si="14"/>
        <v>831973</v>
      </c>
      <c r="E234" s="136">
        <f t="shared" si="14"/>
        <v>0</v>
      </c>
      <c r="F234" s="137">
        <f t="shared" si="9"/>
        <v>0</v>
      </c>
      <c r="G234" s="138"/>
    </row>
    <row r="235" spans="1:7" s="145" customFormat="1" ht="18.75" customHeight="1">
      <c r="A235" s="140"/>
      <c r="B235" s="141"/>
      <c r="C235" s="142" t="s">
        <v>1583</v>
      </c>
      <c r="D235" s="143">
        <v>831973</v>
      </c>
      <c r="E235" s="143">
        <v>0</v>
      </c>
      <c r="F235" s="144">
        <f t="shared" si="9"/>
        <v>0</v>
      </c>
      <c r="G235" s="138"/>
    </row>
    <row r="236" spans="1:7" s="125" customFormat="1" ht="18.75" customHeight="1">
      <c r="A236" s="170" t="s">
        <v>12</v>
      </c>
      <c r="B236" s="113"/>
      <c r="C236" s="154" t="s">
        <v>13</v>
      </c>
      <c r="D236" s="115">
        <f>SUM(D237,D247,D253,D262,D268,D277,D281,D285,D293)</f>
        <v>37757989</v>
      </c>
      <c r="E236" s="115">
        <f>SUM(E237,E247,E253,E262,E268,E277,E281,E285,E293)</f>
        <v>37357516.77</v>
      </c>
      <c r="F236" s="116">
        <f aca="true" t="shared" si="15" ref="F236:F274">E236/D236*100</f>
        <v>98.93937087062557</v>
      </c>
      <c r="G236" s="117"/>
    </row>
    <row r="237" spans="1:7" s="139" customFormat="1" ht="18.75" customHeight="1">
      <c r="A237" s="169"/>
      <c r="B237" s="120" t="s">
        <v>14</v>
      </c>
      <c r="C237" s="152" t="s">
        <v>15</v>
      </c>
      <c r="D237" s="122">
        <f>SUM(D238,D244)</f>
        <v>16200099</v>
      </c>
      <c r="E237" s="122">
        <f>SUM(E238,E244)</f>
        <v>15895956.92</v>
      </c>
      <c r="F237" s="123">
        <f t="shared" si="15"/>
        <v>98.12259122614003</v>
      </c>
      <c r="G237" s="138"/>
    </row>
    <row r="238" spans="1:7" s="132" customFormat="1" ht="18.75" customHeight="1">
      <c r="A238" s="126"/>
      <c r="B238" s="127"/>
      <c r="C238" s="128" t="s">
        <v>1235</v>
      </c>
      <c r="D238" s="129">
        <f>SUM(D239,D242,D243)</f>
        <v>14390284</v>
      </c>
      <c r="E238" s="129">
        <f>SUM(E239,E242,E243)</f>
        <v>14271049.69</v>
      </c>
      <c r="F238" s="130">
        <f t="shared" si="15"/>
        <v>99.17142490030079</v>
      </c>
      <c r="G238" s="131"/>
    </row>
    <row r="239" spans="1:7" s="139" customFormat="1" ht="18" customHeight="1">
      <c r="A239" s="133"/>
      <c r="B239" s="134"/>
      <c r="C239" s="135" t="s">
        <v>1582</v>
      </c>
      <c r="D239" s="136">
        <f>SUM(D240,D241)</f>
        <v>13994909</v>
      </c>
      <c r="E239" s="136">
        <f>SUM(E240,E241)</f>
        <v>13875674.11</v>
      </c>
      <c r="F239" s="137">
        <f t="shared" si="15"/>
        <v>99.14801239507881</v>
      </c>
      <c r="G239" s="138"/>
    </row>
    <row r="240" spans="1:7" s="145" customFormat="1" ht="18.75" customHeight="1">
      <c r="A240" s="140"/>
      <c r="B240" s="141"/>
      <c r="C240" s="142" t="s">
        <v>1714</v>
      </c>
      <c r="D240" s="143">
        <v>11700988</v>
      </c>
      <c r="E240" s="143">
        <v>11699990.07</v>
      </c>
      <c r="F240" s="144">
        <f t="shared" si="15"/>
        <v>99.99147140395324</v>
      </c>
      <c r="G240" s="138"/>
    </row>
    <row r="241" spans="1:7" s="145" customFormat="1" ht="18.75" customHeight="1">
      <c r="A241" s="140"/>
      <c r="B241" s="141"/>
      <c r="C241" s="142" t="s">
        <v>1583</v>
      </c>
      <c r="D241" s="143">
        <v>2293921</v>
      </c>
      <c r="E241" s="143">
        <v>2175684.04</v>
      </c>
      <c r="F241" s="144">
        <f t="shared" si="15"/>
        <v>94.84563940955246</v>
      </c>
      <c r="G241" s="138"/>
    </row>
    <row r="242" spans="1:7" s="139" customFormat="1" ht="18.75" customHeight="1">
      <c r="A242" s="171"/>
      <c r="B242" s="134"/>
      <c r="C242" s="177" t="s">
        <v>1588</v>
      </c>
      <c r="D242" s="136">
        <v>10880</v>
      </c>
      <c r="E242" s="136">
        <v>10880.75</v>
      </c>
      <c r="F242" s="137">
        <f t="shared" si="15"/>
        <v>100.00689338235293</v>
      </c>
      <c r="G242" s="138"/>
    </row>
    <row r="243" spans="1:7" s="139" customFormat="1" ht="18.75" customHeight="1">
      <c r="A243" s="133"/>
      <c r="B243" s="134"/>
      <c r="C243" s="135" t="s">
        <v>1584</v>
      </c>
      <c r="D243" s="136">
        <v>384495</v>
      </c>
      <c r="E243" s="136">
        <v>384494.83</v>
      </c>
      <c r="F243" s="137">
        <f t="shared" si="15"/>
        <v>99.99995578616108</v>
      </c>
      <c r="G243" s="151"/>
    </row>
    <row r="244" spans="1:7" s="132" customFormat="1" ht="18.75" customHeight="1">
      <c r="A244" s="126"/>
      <c r="B244" s="127"/>
      <c r="C244" s="128" t="s">
        <v>1585</v>
      </c>
      <c r="D244" s="129">
        <f>SUM(D245,D246)</f>
        <v>1809815</v>
      </c>
      <c r="E244" s="129">
        <f>SUM(E245,E246)</f>
        <v>1624907.23</v>
      </c>
      <c r="F244" s="130">
        <f t="shared" si="15"/>
        <v>89.78305683177562</v>
      </c>
      <c r="G244" s="131"/>
    </row>
    <row r="245" spans="1:7" s="139" customFormat="1" ht="24.75" customHeight="1">
      <c r="A245" s="133"/>
      <c r="B245" s="134"/>
      <c r="C245" s="135" t="s">
        <v>293</v>
      </c>
      <c r="D245" s="136">
        <v>380322</v>
      </c>
      <c r="E245" s="136">
        <v>345942.23</v>
      </c>
      <c r="F245" s="137">
        <f t="shared" si="15"/>
        <v>90.96035201750095</v>
      </c>
      <c r="G245" s="138"/>
    </row>
    <row r="246" spans="1:7" s="29" customFormat="1" ht="18" customHeight="1">
      <c r="A246" s="37"/>
      <c r="B246" s="26"/>
      <c r="C246" s="13" t="s">
        <v>1596</v>
      </c>
      <c r="D246" s="14">
        <v>1429493</v>
      </c>
      <c r="E246" s="14">
        <v>1278965</v>
      </c>
      <c r="F246" s="27">
        <f t="shared" si="15"/>
        <v>89.46983301072478</v>
      </c>
      <c r="G246" s="28"/>
    </row>
    <row r="247" spans="1:7" s="125" customFormat="1" ht="18.75" customHeight="1">
      <c r="A247" s="169"/>
      <c r="B247" s="120" t="s">
        <v>1162</v>
      </c>
      <c r="C247" s="152" t="s">
        <v>1163</v>
      </c>
      <c r="D247" s="122">
        <f>D248</f>
        <v>492491</v>
      </c>
      <c r="E247" s="122">
        <f>E248</f>
        <v>492490.57</v>
      </c>
      <c r="F247" s="123">
        <f t="shared" si="15"/>
        <v>99.99991268875979</v>
      </c>
      <c r="G247" s="117"/>
    </row>
    <row r="248" spans="1:7" s="132" customFormat="1" ht="18.75" customHeight="1">
      <c r="A248" s="126"/>
      <c r="B248" s="127"/>
      <c r="C248" s="128" t="s">
        <v>1235</v>
      </c>
      <c r="D248" s="129">
        <f>SUM(D249,D252)</f>
        <v>492491</v>
      </c>
      <c r="E248" s="129">
        <f>SUM(E249,E252)</f>
        <v>492490.57</v>
      </c>
      <c r="F248" s="130">
        <f t="shared" si="15"/>
        <v>99.99991268875979</v>
      </c>
      <c r="G248" s="131"/>
    </row>
    <row r="249" spans="1:7" s="139" customFormat="1" ht="18" customHeight="1">
      <c r="A249" s="133"/>
      <c r="B249" s="134"/>
      <c r="C249" s="135" t="s">
        <v>1582</v>
      </c>
      <c r="D249" s="136">
        <f>SUM(D250,D251)</f>
        <v>459690</v>
      </c>
      <c r="E249" s="136">
        <f>SUM(E250,E251)</f>
        <v>459690.46</v>
      </c>
      <c r="F249" s="137">
        <f t="shared" si="15"/>
        <v>100.00010006743676</v>
      </c>
      <c r="G249" s="138"/>
    </row>
    <row r="250" spans="1:7" s="145" customFormat="1" ht="18.75" customHeight="1">
      <c r="A250" s="140"/>
      <c r="B250" s="141"/>
      <c r="C250" s="142" t="s">
        <v>1714</v>
      </c>
      <c r="D250" s="143">
        <v>418537</v>
      </c>
      <c r="E250" s="143">
        <v>418536.71</v>
      </c>
      <c r="F250" s="144">
        <f t="shared" si="15"/>
        <v>99.99993071102435</v>
      </c>
      <c r="G250" s="138"/>
    </row>
    <row r="251" spans="1:7" s="145" customFormat="1" ht="18.75" customHeight="1">
      <c r="A251" s="140"/>
      <c r="B251" s="141"/>
      <c r="C251" s="142" t="s">
        <v>1583</v>
      </c>
      <c r="D251" s="143">
        <v>41153</v>
      </c>
      <c r="E251" s="143">
        <v>41153.75</v>
      </c>
      <c r="F251" s="144">
        <f t="shared" si="15"/>
        <v>100.00182246737783</v>
      </c>
      <c r="G251" s="138"/>
    </row>
    <row r="252" spans="1:7" s="139" customFormat="1" ht="18.75" customHeight="1">
      <c r="A252" s="133"/>
      <c r="B252" s="134"/>
      <c r="C252" s="135" t="s">
        <v>1584</v>
      </c>
      <c r="D252" s="136">
        <v>32801</v>
      </c>
      <c r="E252" s="136">
        <v>32800.11</v>
      </c>
      <c r="F252" s="137">
        <f t="shared" si="15"/>
        <v>99.99728666808939</v>
      </c>
      <c r="G252" s="151"/>
    </row>
    <row r="253" spans="1:8" s="178" customFormat="1" ht="18.75" customHeight="1">
      <c r="A253" s="169"/>
      <c r="B253" s="120" t="s">
        <v>1755</v>
      </c>
      <c r="C253" s="152" t="s">
        <v>1756</v>
      </c>
      <c r="D253" s="122">
        <f>SUM(D254,D260)</f>
        <v>9526850</v>
      </c>
      <c r="E253" s="122">
        <f>SUM(E254,E260)</f>
        <v>9492658.06</v>
      </c>
      <c r="F253" s="123">
        <f t="shared" si="15"/>
        <v>99.64109920907751</v>
      </c>
      <c r="G253" s="138"/>
      <c r="H253" s="139"/>
    </row>
    <row r="254" spans="1:7" s="132" customFormat="1" ht="18.75" customHeight="1">
      <c r="A254" s="126"/>
      <c r="B254" s="127"/>
      <c r="C254" s="128" t="s">
        <v>1235</v>
      </c>
      <c r="D254" s="129">
        <f>SUM(D255,D258,D259)</f>
        <v>9385785</v>
      </c>
      <c r="E254" s="129">
        <f>SUM(E255,E258,E259)</f>
        <v>9359393.57</v>
      </c>
      <c r="F254" s="130">
        <f t="shared" si="15"/>
        <v>99.71881488868539</v>
      </c>
      <c r="G254" s="131"/>
    </row>
    <row r="255" spans="1:7" s="139" customFormat="1" ht="18" customHeight="1">
      <c r="A255" s="133"/>
      <c r="B255" s="134"/>
      <c r="C255" s="135" t="s">
        <v>1582</v>
      </c>
      <c r="D255" s="136">
        <f>SUM(D256,D257)</f>
        <v>8847743</v>
      </c>
      <c r="E255" s="136">
        <f>SUM(E256,E257)</f>
        <v>8821474.31</v>
      </c>
      <c r="F255" s="137">
        <f t="shared" si="15"/>
        <v>99.70310292692724</v>
      </c>
      <c r="G255" s="138"/>
    </row>
    <row r="256" spans="1:7" s="145" customFormat="1" ht="18.75" customHeight="1">
      <c r="A256" s="140"/>
      <c r="B256" s="141"/>
      <c r="C256" s="142" t="s">
        <v>1714</v>
      </c>
      <c r="D256" s="143">
        <v>7409732</v>
      </c>
      <c r="E256" s="143">
        <v>7409729.65</v>
      </c>
      <c r="F256" s="144">
        <f t="shared" si="15"/>
        <v>99.99996828495283</v>
      </c>
      <c r="G256" s="138"/>
    </row>
    <row r="257" spans="1:7" s="145" customFormat="1" ht="18.75" customHeight="1">
      <c r="A257" s="140"/>
      <c r="B257" s="141"/>
      <c r="C257" s="142" t="s">
        <v>1583</v>
      </c>
      <c r="D257" s="143">
        <v>1438011</v>
      </c>
      <c r="E257" s="143">
        <v>1411744.66</v>
      </c>
      <c r="F257" s="144">
        <f t="shared" si="15"/>
        <v>98.17342565529749</v>
      </c>
      <c r="G257" s="138"/>
    </row>
    <row r="258" spans="1:7" s="139" customFormat="1" ht="18.75" customHeight="1">
      <c r="A258" s="133"/>
      <c r="B258" s="134"/>
      <c r="C258" s="135" t="s">
        <v>1584</v>
      </c>
      <c r="D258" s="136">
        <v>532004</v>
      </c>
      <c r="E258" s="136">
        <v>531995.92</v>
      </c>
      <c r="F258" s="137">
        <f t="shared" si="15"/>
        <v>99.99848121442697</v>
      </c>
      <c r="G258" s="151"/>
    </row>
    <row r="259" spans="1:7" s="139" customFormat="1" ht="18.75" customHeight="1">
      <c r="A259" s="133"/>
      <c r="B259" s="134"/>
      <c r="C259" s="135" t="s">
        <v>1588</v>
      </c>
      <c r="D259" s="136">
        <v>6038</v>
      </c>
      <c r="E259" s="136">
        <v>5923.34</v>
      </c>
      <c r="F259" s="137">
        <f>E259/D259*100</f>
        <v>98.1010268300762</v>
      </c>
      <c r="G259" s="151"/>
    </row>
    <row r="260" spans="1:7" s="132" customFormat="1" ht="18.75" customHeight="1">
      <c r="A260" s="126"/>
      <c r="B260" s="127"/>
      <c r="C260" s="128" t="s">
        <v>1585</v>
      </c>
      <c r="D260" s="129">
        <f>SUM(D261)</f>
        <v>141065</v>
      </c>
      <c r="E260" s="129">
        <f>SUM(E261)</f>
        <v>133264.49</v>
      </c>
      <c r="F260" s="130">
        <f>E260/D260*100</f>
        <v>94.47027256938291</v>
      </c>
      <c r="G260" s="131"/>
    </row>
    <row r="261" spans="1:7" s="139" customFormat="1" ht="26.25" customHeight="1">
      <c r="A261" s="133"/>
      <c r="B261" s="134"/>
      <c r="C261" s="135" t="s">
        <v>293</v>
      </c>
      <c r="D261" s="136">
        <v>141065</v>
      </c>
      <c r="E261" s="136">
        <v>133264.49</v>
      </c>
      <c r="F261" s="137">
        <f>E261/D261*100</f>
        <v>94.47027256938291</v>
      </c>
      <c r="G261" s="138"/>
    </row>
    <row r="262" spans="1:8" s="178" customFormat="1" ht="18.75" customHeight="1">
      <c r="A262" s="169"/>
      <c r="B262" s="120" t="s">
        <v>1591</v>
      </c>
      <c r="C262" s="152" t="s">
        <v>1592</v>
      </c>
      <c r="D262" s="122">
        <f>SUM(D263)</f>
        <v>584525</v>
      </c>
      <c r="E262" s="122">
        <f>SUM(E263)</f>
        <v>584524.03</v>
      </c>
      <c r="F262" s="123">
        <f t="shared" si="15"/>
        <v>99.99983405329114</v>
      </c>
      <c r="G262" s="138"/>
      <c r="H262" s="139"/>
    </row>
    <row r="263" spans="1:7" s="132" customFormat="1" ht="18.75" customHeight="1">
      <c r="A263" s="126"/>
      <c r="B263" s="127"/>
      <c r="C263" s="128" t="s">
        <v>1235</v>
      </c>
      <c r="D263" s="129">
        <f>SUM(D264,D267)</f>
        <v>584525</v>
      </c>
      <c r="E263" s="129">
        <f>SUM(E264,E267)</f>
        <v>584524.03</v>
      </c>
      <c r="F263" s="130">
        <f t="shared" si="15"/>
        <v>99.99983405329114</v>
      </c>
      <c r="G263" s="131"/>
    </row>
    <row r="264" spans="1:7" s="139" customFormat="1" ht="18" customHeight="1">
      <c r="A264" s="133"/>
      <c r="B264" s="134"/>
      <c r="C264" s="135" t="s">
        <v>1582</v>
      </c>
      <c r="D264" s="136">
        <f>SUM(D265,D266)</f>
        <v>238058</v>
      </c>
      <c r="E264" s="136">
        <f>SUM(E265,E266)</f>
        <v>238057.39</v>
      </c>
      <c r="F264" s="137">
        <f>E264/D264*100</f>
        <v>99.99974375992406</v>
      </c>
      <c r="G264" s="138"/>
    </row>
    <row r="265" spans="1:7" s="145" customFormat="1" ht="18.75" customHeight="1">
      <c r="A265" s="140"/>
      <c r="B265" s="141"/>
      <c r="C265" s="142" t="s">
        <v>1714</v>
      </c>
      <c r="D265" s="143">
        <v>208473</v>
      </c>
      <c r="E265" s="143">
        <v>208472.82</v>
      </c>
      <c r="F265" s="144">
        <f>E265/D265*100</f>
        <v>99.99991365788375</v>
      </c>
      <c r="G265" s="138"/>
    </row>
    <row r="266" spans="1:7" s="145" customFormat="1" ht="18.75" customHeight="1">
      <c r="A266" s="140"/>
      <c r="B266" s="141"/>
      <c r="C266" s="142" t="s">
        <v>1583</v>
      </c>
      <c r="D266" s="143">
        <v>29585</v>
      </c>
      <c r="E266" s="143">
        <v>29584.57</v>
      </c>
      <c r="F266" s="144">
        <f>E266/D266*100</f>
        <v>99.99854656075713</v>
      </c>
      <c r="G266" s="138"/>
    </row>
    <row r="267" spans="1:7" s="139" customFormat="1" ht="18.75" customHeight="1">
      <c r="A267" s="133"/>
      <c r="B267" s="134"/>
      <c r="C267" s="135" t="s">
        <v>1584</v>
      </c>
      <c r="D267" s="136">
        <v>346467</v>
      </c>
      <c r="E267" s="136">
        <v>346466.64</v>
      </c>
      <c r="F267" s="137">
        <f t="shared" si="15"/>
        <v>99.99989609400029</v>
      </c>
      <c r="G267" s="151"/>
    </row>
    <row r="268" spans="1:8" s="178" customFormat="1" ht="18.75" customHeight="1">
      <c r="A268" s="169"/>
      <c r="B268" s="120" t="s">
        <v>16</v>
      </c>
      <c r="C268" s="152" t="s">
        <v>17</v>
      </c>
      <c r="D268" s="122">
        <f>SUM(D269,D275)</f>
        <v>9179930</v>
      </c>
      <c r="E268" s="122">
        <f>SUM(E269,E275)</f>
        <v>9126441.76</v>
      </c>
      <c r="F268" s="123">
        <f t="shared" si="15"/>
        <v>99.41733499057183</v>
      </c>
      <c r="G268" s="138"/>
      <c r="H268" s="139"/>
    </row>
    <row r="269" spans="1:7" s="132" customFormat="1" ht="18.75" customHeight="1">
      <c r="A269" s="126"/>
      <c r="B269" s="127"/>
      <c r="C269" s="128" t="s">
        <v>1235</v>
      </c>
      <c r="D269" s="129">
        <f>SUM(D270,D273,D274)</f>
        <v>9001732</v>
      </c>
      <c r="E269" s="129">
        <f>SUM(E270,E273,E274)</f>
        <v>8952709.07</v>
      </c>
      <c r="F269" s="130">
        <f t="shared" si="15"/>
        <v>99.45540558194801</v>
      </c>
      <c r="G269" s="131"/>
    </row>
    <row r="270" spans="1:7" s="139" customFormat="1" ht="18" customHeight="1">
      <c r="A270" s="133"/>
      <c r="B270" s="134"/>
      <c r="C270" s="135" t="s">
        <v>1582</v>
      </c>
      <c r="D270" s="136">
        <f>SUM(D271,D272)</f>
        <v>8470873</v>
      </c>
      <c r="E270" s="136">
        <f>SUM(E271,E272)</f>
        <v>8421850.9</v>
      </c>
      <c r="F270" s="137">
        <f t="shared" si="15"/>
        <v>99.42128633022831</v>
      </c>
      <c r="G270" s="138"/>
    </row>
    <row r="271" spans="1:7" s="145" customFormat="1" ht="18.75" customHeight="1">
      <c r="A271" s="140"/>
      <c r="B271" s="141"/>
      <c r="C271" s="142" t="s">
        <v>1714</v>
      </c>
      <c r="D271" s="143">
        <v>7026710</v>
      </c>
      <c r="E271" s="143">
        <v>7026709.5</v>
      </c>
      <c r="F271" s="144">
        <f t="shared" si="15"/>
        <v>99.99999288429436</v>
      </c>
      <c r="G271" s="138"/>
    </row>
    <row r="272" spans="1:7" s="145" customFormat="1" ht="18.75" customHeight="1">
      <c r="A272" s="140"/>
      <c r="B272" s="141"/>
      <c r="C272" s="142" t="s">
        <v>1583</v>
      </c>
      <c r="D272" s="143">
        <v>1444163</v>
      </c>
      <c r="E272" s="143">
        <v>1395141.4</v>
      </c>
      <c r="F272" s="144">
        <f t="shared" si="15"/>
        <v>96.60553552472955</v>
      </c>
      <c r="G272" s="138"/>
    </row>
    <row r="273" spans="1:7" s="139" customFormat="1" ht="18.75" customHeight="1">
      <c r="A273" s="171"/>
      <c r="B273" s="134"/>
      <c r="C273" s="177" t="s">
        <v>1588</v>
      </c>
      <c r="D273" s="136">
        <v>8947</v>
      </c>
      <c r="E273" s="136">
        <v>8947.66</v>
      </c>
      <c r="F273" s="137">
        <f t="shared" si="15"/>
        <v>100.00737677433777</v>
      </c>
      <c r="G273" s="138"/>
    </row>
    <row r="274" spans="1:7" s="139" customFormat="1" ht="18.75" customHeight="1">
      <c r="A274" s="133"/>
      <c r="B274" s="134"/>
      <c r="C274" s="135" t="s">
        <v>1584</v>
      </c>
      <c r="D274" s="136">
        <v>521912</v>
      </c>
      <c r="E274" s="136">
        <v>521910.51</v>
      </c>
      <c r="F274" s="137">
        <f t="shared" si="15"/>
        <v>99.9997145112586</v>
      </c>
      <c r="G274" s="151"/>
    </row>
    <row r="275" spans="1:7" s="139" customFormat="1" ht="18.75" customHeight="1">
      <c r="A275" s="171"/>
      <c r="B275" s="134"/>
      <c r="C275" s="128" t="s">
        <v>1585</v>
      </c>
      <c r="D275" s="129">
        <f>SUM(D276)</f>
        <v>178198</v>
      </c>
      <c r="E275" s="129">
        <f>SUM(E276)</f>
        <v>173732.69</v>
      </c>
      <c r="F275" s="130">
        <f>E275/D275*100</f>
        <v>97.49418624226983</v>
      </c>
      <c r="G275" s="151"/>
    </row>
    <row r="276" spans="1:7" s="139" customFormat="1" ht="24" customHeight="1">
      <c r="A276" s="171"/>
      <c r="B276" s="134"/>
      <c r="C276" s="135" t="s">
        <v>293</v>
      </c>
      <c r="D276" s="136">
        <v>178198</v>
      </c>
      <c r="E276" s="136">
        <v>173732.69</v>
      </c>
      <c r="F276" s="137">
        <f>E276/D276*100</f>
        <v>97.49418624226983</v>
      </c>
      <c r="G276" s="151"/>
    </row>
    <row r="277" spans="1:7" s="125" customFormat="1" ht="17.25" customHeight="1">
      <c r="A277" s="191"/>
      <c r="B277" s="120" t="s">
        <v>1209</v>
      </c>
      <c r="C277" s="152" t="s">
        <v>1210</v>
      </c>
      <c r="D277" s="122">
        <f>D278</f>
        <v>83822</v>
      </c>
      <c r="E277" s="122">
        <f>E278</f>
        <v>83818.88</v>
      </c>
      <c r="F277" s="123">
        <f aca="true" t="shared" si="16" ref="F277:F297">E277/D277*100</f>
        <v>99.99627782682352</v>
      </c>
      <c r="G277" s="117"/>
    </row>
    <row r="278" spans="1:7" s="132" customFormat="1" ht="18.75" customHeight="1">
      <c r="A278" s="126"/>
      <c r="B278" s="127"/>
      <c r="C278" s="128" t="s">
        <v>1235</v>
      </c>
      <c r="D278" s="129">
        <f>SUM(D279)</f>
        <v>83822</v>
      </c>
      <c r="E278" s="129">
        <f>SUM(E279)</f>
        <v>83818.88</v>
      </c>
      <c r="F278" s="130">
        <f t="shared" si="16"/>
        <v>99.99627782682352</v>
      </c>
      <c r="G278" s="131"/>
    </row>
    <row r="279" spans="1:7" s="139" customFormat="1" ht="18" customHeight="1">
      <c r="A279" s="133"/>
      <c r="B279" s="134"/>
      <c r="C279" s="135" t="s">
        <v>1582</v>
      </c>
      <c r="D279" s="136">
        <f>SUM(D280)</f>
        <v>83822</v>
      </c>
      <c r="E279" s="136">
        <f>SUM(E280)</f>
        <v>83818.88</v>
      </c>
      <c r="F279" s="137">
        <f t="shared" si="16"/>
        <v>99.99627782682352</v>
      </c>
      <c r="G279" s="138"/>
    </row>
    <row r="280" spans="1:7" s="145" customFormat="1" ht="18.75" customHeight="1">
      <c r="A280" s="140"/>
      <c r="B280" s="141"/>
      <c r="C280" s="142" t="s">
        <v>1583</v>
      </c>
      <c r="D280" s="143">
        <v>83822</v>
      </c>
      <c r="E280" s="143">
        <v>83818.88</v>
      </c>
      <c r="F280" s="144">
        <f t="shared" si="16"/>
        <v>99.99627782682352</v>
      </c>
      <c r="G280" s="138"/>
    </row>
    <row r="281" spans="1:7" s="125" customFormat="1" ht="18.75" customHeight="1">
      <c r="A281" s="169"/>
      <c r="B281" s="120" t="s">
        <v>1767</v>
      </c>
      <c r="C281" s="152" t="s">
        <v>1768</v>
      </c>
      <c r="D281" s="122">
        <f>D284</f>
        <v>72932</v>
      </c>
      <c r="E281" s="122">
        <f>E284</f>
        <v>72929.8</v>
      </c>
      <c r="F281" s="123">
        <f t="shared" si="16"/>
        <v>99.99698349147151</v>
      </c>
      <c r="G281" s="117"/>
    </row>
    <row r="282" spans="1:7" s="132" customFormat="1" ht="18.75" customHeight="1">
      <c r="A282" s="126"/>
      <c r="B282" s="127"/>
      <c r="C282" s="128" t="s">
        <v>1235</v>
      </c>
      <c r="D282" s="129">
        <f>SUM(D283)</f>
        <v>72932</v>
      </c>
      <c r="E282" s="129">
        <f>SUM(E283)</f>
        <v>72929.8</v>
      </c>
      <c r="F282" s="130">
        <f t="shared" si="16"/>
        <v>99.99698349147151</v>
      </c>
      <c r="G282" s="131"/>
    </row>
    <row r="283" spans="1:7" s="139" customFormat="1" ht="18" customHeight="1">
      <c r="A283" s="133"/>
      <c r="B283" s="134"/>
      <c r="C283" s="135" t="s">
        <v>1582</v>
      </c>
      <c r="D283" s="136">
        <f>SUM(D284)</f>
        <v>72932</v>
      </c>
      <c r="E283" s="136">
        <f>SUM(E284)</f>
        <v>72929.8</v>
      </c>
      <c r="F283" s="137">
        <f t="shared" si="16"/>
        <v>99.99698349147151</v>
      </c>
      <c r="G283" s="138"/>
    </row>
    <row r="284" spans="1:7" s="145" customFormat="1" ht="18.75" customHeight="1">
      <c r="A284" s="140"/>
      <c r="B284" s="141"/>
      <c r="C284" s="142" t="s">
        <v>1583</v>
      </c>
      <c r="D284" s="143">
        <v>72932</v>
      </c>
      <c r="E284" s="143">
        <v>72929.8</v>
      </c>
      <c r="F284" s="144">
        <f t="shared" si="16"/>
        <v>99.99698349147151</v>
      </c>
      <c r="G284" s="138"/>
    </row>
    <row r="285" spans="1:7" s="125" customFormat="1" ht="18.75" customHeight="1">
      <c r="A285" s="169"/>
      <c r="B285" s="120" t="s">
        <v>601</v>
      </c>
      <c r="C285" s="121" t="s">
        <v>1617</v>
      </c>
      <c r="D285" s="122">
        <f>SUM(D286,D291)</f>
        <v>1323589</v>
      </c>
      <c r="E285" s="122">
        <f>SUM(E286,E291)</f>
        <v>1323586.35</v>
      </c>
      <c r="F285" s="123">
        <f t="shared" si="16"/>
        <v>99.99979978679183</v>
      </c>
      <c r="G285" s="117"/>
    </row>
    <row r="286" spans="1:7" s="132" customFormat="1" ht="18.75" customHeight="1">
      <c r="A286" s="126"/>
      <c r="B286" s="127"/>
      <c r="C286" s="128" t="s">
        <v>1235</v>
      </c>
      <c r="D286" s="129">
        <f>SUM(D287,D290)</f>
        <v>1308517</v>
      </c>
      <c r="E286" s="129">
        <f>SUM(E287,E290)</f>
        <v>1308513.9300000002</v>
      </c>
      <c r="F286" s="130">
        <f t="shared" si="16"/>
        <v>99.99976538325448</v>
      </c>
      <c r="G286" s="131"/>
    </row>
    <row r="287" spans="1:7" s="139" customFormat="1" ht="18" customHeight="1">
      <c r="A287" s="133"/>
      <c r="B287" s="134"/>
      <c r="C287" s="135" t="s">
        <v>1582</v>
      </c>
      <c r="D287" s="136">
        <f>SUM(D288,D289)</f>
        <v>1306789</v>
      </c>
      <c r="E287" s="136">
        <f>SUM(E288,E289)</f>
        <v>1306785.3900000001</v>
      </c>
      <c r="F287" s="137">
        <f t="shared" si="16"/>
        <v>99.99972375035297</v>
      </c>
      <c r="G287" s="138"/>
    </row>
    <row r="288" spans="1:7" s="145" customFormat="1" ht="18.75" customHeight="1">
      <c r="A288" s="140"/>
      <c r="B288" s="141"/>
      <c r="C288" s="142" t="s">
        <v>1714</v>
      </c>
      <c r="D288" s="143">
        <v>1130769</v>
      </c>
      <c r="E288" s="143">
        <v>1130766.08</v>
      </c>
      <c r="F288" s="144">
        <f t="shared" si="16"/>
        <v>99.99974176865479</v>
      </c>
      <c r="G288" s="138"/>
    </row>
    <row r="289" spans="1:7" s="145" customFormat="1" ht="18.75" customHeight="1">
      <c r="A289" s="140"/>
      <c r="B289" s="141"/>
      <c r="C289" s="142" t="s">
        <v>1583</v>
      </c>
      <c r="D289" s="143">
        <v>176020</v>
      </c>
      <c r="E289" s="143">
        <v>176019.31</v>
      </c>
      <c r="F289" s="144">
        <f t="shared" si="16"/>
        <v>99.99960799909101</v>
      </c>
      <c r="G289" s="138"/>
    </row>
    <row r="290" spans="1:7" s="139" customFormat="1" ht="18.75" customHeight="1">
      <c r="A290" s="171"/>
      <c r="B290" s="134"/>
      <c r="C290" s="177" t="s">
        <v>1588</v>
      </c>
      <c r="D290" s="136">
        <v>1728</v>
      </c>
      <c r="E290" s="136">
        <v>1728.54</v>
      </c>
      <c r="F290" s="137">
        <f t="shared" si="16"/>
        <v>100.03125</v>
      </c>
      <c r="G290" s="138"/>
    </row>
    <row r="291" spans="1:7" s="161" customFormat="1" ht="18.75" customHeight="1">
      <c r="A291" s="156"/>
      <c r="B291" s="157"/>
      <c r="C291" s="158" t="s">
        <v>1585</v>
      </c>
      <c r="D291" s="159">
        <f>SUM(D292)</f>
        <v>15072</v>
      </c>
      <c r="E291" s="159">
        <f>SUM(E292)</f>
        <v>15072.42</v>
      </c>
      <c r="F291" s="160">
        <f t="shared" si="16"/>
        <v>100.00278662420384</v>
      </c>
      <c r="G291" s="2011"/>
    </row>
    <row r="292" spans="1:7" s="168" customFormat="1" ht="24.75" customHeight="1">
      <c r="A292" s="162"/>
      <c r="B292" s="163"/>
      <c r="C292" s="164" t="s">
        <v>293</v>
      </c>
      <c r="D292" s="165">
        <v>15072</v>
      </c>
      <c r="E292" s="165">
        <v>15072.42</v>
      </c>
      <c r="F292" s="166">
        <f t="shared" si="16"/>
        <v>100.00278662420384</v>
      </c>
      <c r="G292" s="2011"/>
    </row>
    <row r="293" spans="1:8" s="178" customFormat="1" ht="18.75" customHeight="1">
      <c r="A293" s="169"/>
      <c r="B293" s="120" t="s">
        <v>1769</v>
      </c>
      <c r="C293" s="152" t="s">
        <v>215</v>
      </c>
      <c r="D293" s="122">
        <f>SUM(D294)</f>
        <v>293751</v>
      </c>
      <c r="E293" s="122">
        <f>SUM(E294)</f>
        <v>285110.4</v>
      </c>
      <c r="F293" s="123">
        <f t="shared" si="16"/>
        <v>97.05852916245392</v>
      </c>
      <c r="G293" s="138"/>
      <c r="H293" s="139"/>
    </row>
    <row r="294" spans="1:7" s="132" customFormat="1" ht="18.75" customHeight="1">
      <c r="A294" s="126"/>
      <c r="B294" s="127"/>
      <c r="C294" s="128" t="s">
        <v>1235</v>
      </c>
      <c r="D294" s="129">
        <f>SUM(D295,D298,D299,D300)</f>
        <v>293751</v>
      </c>
      <c r="E294" s="129">
        <f>SUM(E295,E298,E299,E300)</f>
        <v>285110.4</v>
      </c>
      <c r="F294" s="130">
        <f t="shared" si="16"/>
        <v>97.05852916245392</v>
      </c>
      <c r="G294" s="131"/>
    </row>
    <row r="295" spans="1:7" s="139" customFormat="1" ht="18" customHeight="1">
      <c r="A295" s="133"/>
      <c r="B295" s="134"/>
      <c r="C295" s="135" t="s">
        <v>1582</v>
      </c>
      <c r="D295" s="136">
        <f>SUM(D296,D297)</f>
        <v>243546</v>
      </c>
      <c r="E295" s="136">
        <f>SUM(E296,E297)</f>
        <v>234905.58000000002</v>
      </c>
      <c r="F295" s="137">
        <f t="shared" si="16"/>
        <v>96.45224310807815</v>
      </c>
      <c r="G295" s="138"/>
    </row>
    <row r="296" spans="1:7" s="145" customFormat="1" ht="18.75" customHeight="1">
      <c r="A296" s="140"/>
      <c r="B296" s="141"/>
      <c r="C296" s="142" t="s">
        <v>1714</v>
      </c>
      <c r="D296" s="143">
        <v>57054</v>
      </c>
      <c r="E296" s="143">
        <v>56363.63</v>
      </c>
      <c r="F296" s="144">
        <f t="shared" si="16"/>
        <v>98.7899709047569</v>
      </c>
      <c r="G296" s="138"/>
    </row>
    <row r="297" spans="1:7" s="145" customFormat="1" ht="18.75" customHeight="1">
      <c r="A297" s="140"/>
      <c r="B297" s="141"/>
      <c r="C297" s="142" t="s">
        <v>1583</v>
      </c>
      <c r="D297" s="143">
        <v>186492</v>
      </c>
      <c r="E297" s="143">
        <v>178541.95</v>
      </c>
      <c r="F297" s="144">
        <f t="shared" si="16"/>
        <v>95.73705574501857</v>
      </c>
      <c r="G297" s="138"/>
    </row>
    <row r="298" spans="1:7" s="139" customFormat="1" ht="18.75" customHeight="1" hidden="1">
      <c r="A298" s="171"/>
      <c r="B298" s="134"/>
      <c r="C298" s="135" t="s">
        <v>1584</v>
      </c>
      <c r="D298" s="136">
        <v>0</v>
      </c>
      <c r="E298" s="136">
        <v>0</v>
      </c>
      <c r="F298" s="137" t="e">
        <f aca="true" t="shared" si="17" ref="F298:F345">E298/D298*100</f>
        <v>#DIV/0!</v>
      </c>
      <c r="G298" s="151"/>
    </row>
    <row r="299" spans="1:7" s="139" customFormat="1" ht="18.75" customHeight="1">
      <c r="A299" s="171"/>
      <c r="B299" s="134"/>
      <c r="C299" s="177" t="s">
        <v>1588</v>
      </c>
      <c r="D299" s="136">
        <v>45205</v>
      </c>
      <c r="E299" s="136">
        <v>45204.82</v>
      </c>
      <c r="F299" s="137">
        <f t="shared" si="17"/>
        <v>99.99960181395863</v>
      </c>
      <c r="G299" s="138"/>
    </row>
    <row r="300" spans="1:7" s="139" customFormat="1" ht="18.75" customHeight="1">
      <c r="A300" s="171"/>
      <c r="B300" s="134"/>
      <c r="C300" s="135" t="s">
        <v>1584</v>
      </c>
      <c r="D300" s="136">
        <v>5000</v>
      </c>
      <c r="E300" s="136">
        <v>5000</v>
      </c>
      <c r="F300" s="137">
        <f>E300/D300*100</f>
        <v>100</v>
      </c>
      <c r="G300" s="138"/>
    </row>
    <row r="301" spans="1:7" s="125" customFormat="1" ht="18.75" customHeight="1">
      <c r="A301" s="170" t="s">
        <v>21</v>
      </c>
      <c r="B301" s="113"/>
      <c r="C301" s="154" t="s">
        <v>22</v>
      </c>
      <c r="D301" s="115">
        <f>SUM(D302,D310,D316,D321,D330,D333)</f>
        <v>1901132</v>
      </c>
      <c r="E301" s="115">
        <f>SUM(E302,E310,E316,E321,E330,E333)</f>
        <v>1803533.45</v>
      </c>
      <c r="F301" s="116">
        <f t="shared" si="17"/>
        <v>94.86629281922559</v>
      </c>
      <c r="G301" s="117"/>
    </row>
    <row r="302" spans="1:8" s="178" customFormat="1" ht="18.75" customHeight="1">
      <c r="A302" s="169"/>
      <c r="B302" s="120" t="s">
        <v>1776</v>
      </c>
      <c r="C302" s="192" t="s">
        <v>759</v>
      </c>
      <c r="D302" s="193">
        <f>SUM(D303,D308)</f>
        <v>105680</v>
      </c>
      <c r="E302" s="193">
        <f>SUM(E303,E308)</f>
        <v>88720.95</v>
      </c>
      <c r="F302" s="123">
        <f t="shared" si="17"/>
        <v>83.95245079485238</v>
      </c>
      <c r="G302" s="138"/>
      <c r="H302" s="139"/>
    </row>
    <row r="303" spans="1:7" s="132" customFormat="1" ht="18.75" customHeight="1">
      <c r="A303" s="126"/>
      <c r="B303" s="127"/>
      <c r="C303" s="128" t="s">
        <v>1235</v>
      </c>
      <c r="D303" s="129">
        <f>SUM(D304,D307)</f>
        <v>95680</v>
      </c>
      <c r="E303" s="129">
        <f>SUM(E304,E307)</f>
        <v>79270.95</v>
      </c>
      <c r="F303" s="130">
        <f t="shared" si="17"/>
        <v>82.8500731605351</v>
      </c>
      <c r="G303" s="131"/>
    </row>
    <row r="304" spans="1:7" s="139" customFormat="1" ht="18" customHeight="1">
      <c r="A304" s="133"/>
      <c r="B304" s="134"/>
      <c r="C304" s="135" t="s">
        <v>1582</v>
      </c>
      <c r="D304" s="136">
        <f>SUM(D305,D306)</f>
        <v>84680</v>
      </c>
      <c r="E304" s="136">
        <f>SUM(E305,E306)</f>
        <v>73270.95</v>
      </c>
      <c r="F304" s="137">
        <f t="shared" si="17"/>
        <v>86.52686584789797</v>
      </c>
      <c r="G304" s="138"/>
    </row>
    <row r="305" spans="1:7" s="145" customFormat="1" ht="18.75" customHeight="1" hidden="1">
      <c r="A305" s="140"/>
      <c r="B305" s="141"/>
      <c r="C305" s="142" t="s">
        <v>1714</v>
      </c>
      <c r="D305" s="143">
        <v>0</v>
      </c>
      <c r="E305" s="143">
        <v>0</v>
      </c>
      <c r="F305" s="144" t="e">
        <f t="shared" si="17"/>
        <v>#DIV/0!</v>
      </c>
      <c r="G305" s="138"/>
    </row>
    <row r="306" spans="1:7" s="145" customFormat="1" ht="18.75" customHeight="1">
      <c r="A306" s="140"/>
      <c r="B306" s="141"/>
      <c r="C306" s="142" t="s">
        <v>1583</v>
      </c>
      <c r="D306" s="143">
        <v>84680</v>
      </c>
      <c r="E306" s="143">
        <v>73270.95</v>
      </c>
      <c r="F306" s="144">
        <f t="shared" si="17"/>
        <v>86.52686584789797</v>
      </c>
      <c r="G306" s="138"/>
    </row>
    <row r="307" spans="1:7" s="139" customFormat="1" ht="18.75" customHeight="1">
      <c r="A307" s="171"/>
      <c r="B307" s="134"/>
      <c r="C307" s="135" t="s">
        <v>1584</v>
      </c>
      <c r="D307" s="136">
        <v>11000</v>
      </c>
      <c r="E307" s="136">
        <v>6000</v>
      </c>
      <c r="F307" s="137">
        <f t="shared" si="17"/>
        <v>54.54545454545454</v>
      </c>
      <c r="G307" s="151"/>
    </row>
    <row r="308" spans="1:7" s="132" customFormat="1" ht="18.75" customHeight="1">
      <c r="A308" s="126"/>
      <c r="B308" s="127"/>
      <c r="C308" s="128" t="s">
        <v>1585</v>
      </c>
      <c r="D308" s="129">
        <f>SUM(D309)</f>
        <v>10000</v>
      </c>
      <c r="E308" s="129">
        <f>SUM(E309)</f>
        <v>9450</v>
      </c>
      <c r="F308" s="130">
        <f>E308/D308*100</f>
        <v>94.5</v>
      </c>
      <c r="G308" s="131"/>
    </row>
    <row r="309" spans="1:7" s="139" customFormat="1" ht="27" customHeight="1">
      <c r="A309" s="133"/>
      <c r="B309" s="134"/>
      <c r="C309" s="135" t="s">
        <v>293</v>
      </c>
      <c r="D309" s="136">
        <v>10000</v>
      </c>
      <c r="E309" s="136">
        <v>9450</v>
      </c>
      <c r="F309" s="137">
        <f>E309/D309*100</f>
        <v>94.5</v>
      </c>
      <c r="G309" s="138"/>
    </row>
    <row r="310" spans="1:7" s="125" customFormat="1" ht="18.75" customHeight="1">
      <c r="A310" s="169"/>
      <c r="B310" s="120" t="s">
        <v>760</v>
      </c>
      <c r="C310" s="121" t="s">
        <v>761</v>
      </c>
      <c r="D310" s="122">
        <f>SUM(D311)</f>
        <v>6500</v>
      </c>
      <c r="E310" s="122">
        <f>SUM(E311)</f>
        <v>6500</v>
      </c>
      <c r="F310" s="137">
        <f t="shared" si="17"/>
        <v>100</v>
      </c>
      <c r="G310" s="117"/>
    </row>
    <row r="311" spans="1:7" s="132" customFormat="1" ht="18.75" customHeight="1">
      <c r="A311" s="126"/>
      <c r="B311" s="127"/>
      <c r="C311" s="128" t="s">
        <v>1235</v>
      </c>
      <c r="D311" s="129">
        <f>SUM(D315)</f>
        <v>6500</v>
      </c>
      <c r="E311" s="129">
        <f>SUM(E315)</f>
        <v>6500</v>
      </c>
      <c r="F311" s="130">
        <f t="shared" si="17"/>
        <v>100</v>
      </c>
      <c r="G311" s="131"/>
    </row>
    <row r="312" spans="1:7" s="139" customFormat="1" ht="18" customHeight="1" hidden="1">
      <c r="A312" s="133"/>
      <c r="B312" s="134"/>
      <c r="C312" s="135" t="s">
        <v>1582</v>
      </c>
      <c r="D312" s="136">
        <f>SUM(D313,D314)</f>
        <v>0</v>
      </c>
      <c r="E312" s="136">
        <f>SUM(E313,E314)</f>
        <v>0</v>
      </c>
      <c r="F312" s="137" t="e">
        <f t="shared" si="17"/>
        <v>#DIV/0!</v>
      </c>
      <c r="G312" s="138"/>
    </row>
    <row r="313" spans="1:7" s="145" customFormat="1" ht="18.75" customHeight="1" hidden="1">
      <c r="A313" s="140"/>
      <c r="B313" s="141"/>
      <c r="C313" s="142" t="s">
        <v>1714</v>
      </c>
      <c r="D313" s="143">
        <v>0</v>
      </c>
      <c r="E313" s="143">
        <v>0</v>
      </c>
      <c r="F313" s="144" t="e">
        <f t="shared" si="17"/>
        <v>#DIV/0!</v>
      </c>
      <c r="G313" s="138"/>
    </row>
    <row r="314" spans="1:7" s="145" customFormat="1" ht="18.75" customHeight="1" hidden="1">
      <c r="A314" s="140"/>
      <c r="B314" s="141"/>
      <c r="C314" s="142" t="s">
        <v>1583</v>
      </c>
      <c r="D314" s="143">
        <v>0</v>
      </c>
      <c r="E314" s="143">
        <v>0</v>
      </c>
      <c r="F314" s="144" t="e">
        <f t="shared" si="17"/>
        <v>#DIV/0!</v>
      </c>
      <c r="G314" s="138"/>
    </row>
    <row r="315" spans="1:7" s="145" customFormat="1" ht="18.75" customHeight="1">
      <c r="A315" s="1681"/>
      <c r="B315" s="141"/>
      <c r="C315" s="135" t="s">
        <v>1584</v>
      </c>
      <c r="D315" s="136">
        <v>6500</v>
      </c>
      <c r="E315" s="136">
        <v>6500</v>
      </c>
      <c r="F315" s="137">
        <f aca="true" t="shared" si="18" ref="F315:F320">E315/D315*100</f>
        <v>100</v>
      </c>
      <c r="G315" s="138"/>
    </row>
    <row r="316" spans="1:8" s="178" customFormat="1" ht="18.75" customHeight="1">
      <c r="A316" s="169"/>
      <c r="B316" s="120" t="s">
        <v>762</v>
      </c>
      <c r="C316" s="152" t="s">
        <v>763</v>
      </c>
      <c r="D316" s="122">
        <f>SUM(D317)</f>
        <v>41252</v>
      </c>
      <c r="E316" s="122">
        <f>SUM(E317)</f>
        <v>32461.2</v>
      </c>
      <c r="F316" s="123">
        <f t="shared" si="18"/>
        <v>78.69000290894988</v>
      </c>
      <c r="G316" s="138"/>
      <c r="H316" s="139"/>
    </row>
    <row r="317" spans="1:7" s="132" customFormat="1" ht="18.75" customHeight="1">
      <c r="A317" s="126"/>
      <c r="B317" s="127"/>
      <c r="C317" s="128" t="s">
        <v>1235</v>
      </c>
      <c r="D317" s="129">
        <f>SUM(D318,D320)</f>
        <v>41252</v>
      </c>
      <c r="E317" s="129">
        <f>SUM(E318,E320)</f>
        <v>32461.2</v>
      </c>
      <c r="F317" s="130">
        <f t="shared" si="18"/>
        <v>78.69000290894988</v>
      </c>
      <c r="G317" s="131"/>
    </row>
    <row r="318" spans="1:7" s="139" customFormat="1" ht="18" customHeight="1">
      <c r="A318" s="133"/>
      <c r="B318" s="134"/>
      <c r="C318" s="135" t="s">
        <v>1582</v>
      </c>
      <c r="D318" s="136">
        <f>SUM(D319)</f>
        <v>15200</v>
      </c>
      <c r="E318" s="136">
        <f>SUM(E319)</f>
        <v>13684.2</v>
      </c>
      <c r="F318" s="137">
        <f t="shared" si="18"/>
        <v>90.02763157894738</v>
      </c>
      <c r="G318" s="138"/>
    </row>
    <row r="319" spans="1:7" s="145" customFormat="1" ht="18.75" customHeight="1">
      <c r="A319" s="140"/>
      <c r="B319" s="141"/>
      <c r="C319" s="142" t="s">
        <v>1583</v>
      </c>
      <c r="D319" s="143">
        <v>15200</v>
      </c>
      <c r="E319" s="143">
        <v>13684.2</v>
      </c>
      <c r="F319" s="144">
        <f t="shared" si="18"/>
        <v>90.02763157894738</v>
      </c>
      <c r="G319" s="138"/>
    </row>
    <row r="320" spans="1:7" s="139" customFormat="1" ht="18.75" customHeight="1">
      <c r="A320" s="171"/>
      <c r="B320" s="134"/>
      <c r="C320" s="194" t="s">
        <v>1584</v>
      </c>
      <c r="D320" s="136">
        <v>26052</v>
      </c>
      <c r="E320" s="136">
        <v>18777</v>
      </c>
      <c r="F320" s="137">
        <f t="shared" si="18"/>
        <v>72.07508060801474</v>
      </c>
      <c r="G320" s="138"/>
    </row>
    <row r="321" spans="1:8" s="178" customFormat="1" ht="18.75" customHeight="1">
      <c r="A321" s="169"/>
      <c r="B321" s="120" t="s">
        <v>23</v>
      </c>
      <c r="C321" s="152" t="s">
        <v>24</v>
      </c>
      <c r="D321" s="122">
        <f>SUM(D322,D327)</f>
        <v>1700000</v>
      </c>
      <c r="E321" s="122">
        <f>SUM(E322,E327)</f>
        <v>1642533.51</v>
      </c>
      <c r="F321" s="123">
        <f t="shared" si="17"/>
        <v>96.61961823529411</v>
      </c>
      <c r="G321" s="138"/>
      <c r="H321" s="139"/>
    </row>
    <row r="322" spans="1:7" s="132" customFormat="1" ht="18.75" customHeight="1">
      <c r="A322" s="126"/>
      <c r="B322" s="127"/>
      <c r="C322" s="128" t="s">
        <v>1235</v>
      </c>
      <c r="D322" s="129">
        <f>SUM(D323,D326)</f>
        <v>1182480</v>
      </c>
      <c r="E322" s="129">
        <f>SUM(E323,E326)</f>
        <v>1132226.51</v>
      </c>
      <c r="F322" s="130">
        <f t="shared" si="17"/>
        <v>95.75016152493066</v>
      </c>
      <c r="G322" s="131"/>
    </row>
    <row r="323" spans="1:7" s="139" customFormat="1" ht="18" customHeight="1">
      <c r="A323" s="133"/>
      <c r="B323" s="134"/>
      <c r="C323" s="135" t="s">
        <v>1582</v>
      </c>
      <c r="D323" s="136">
        <f>SUM(D324,D325)</f>
        <v>444080</v>
      </c>
      <c r="E323" s="136">
        <f>SUM(E324,E325)</f>
        <v>402626.08</v>
      </c>
      <c r="F323" s="137">
        <f t="shared" si="17"/>
        <v>90.66521347504954</v>
      </c>
      <c r="G323" s="138"/>
    </row>
    <row r="324" spans="1:7" s="145" customFormat="1" ht="18.75" customHeight="1">
      <c r="A324" s="140"/>
      <c r="B324" s="141"/>
      <c r="C324" s="142" t="s">
        <v>1714</v>
      </c>
      <c r="D324" s="143">
        <v>287645</v>
      </c>
      <c r="E324" s="143">
        <v>273543.76</v>
      </c>
      <c r="F324" s="144">
        <f t="shared" si="17"/>
        <v>95.09769333727338</v>
      </c>
      <c r="G324" s="138"/>
    </row>
    <row r="325" spans="1:7" s="145" customFormat="1" ht="18.75" customHeight="1">
      <c r="A325" s="140"/>
      <c r="B325" s="141"/>
      <c r="C325" s="142" t="s">
        <v>1583</v>
      </c>
      <c r="D325" s="143">
        <v>156435</v>
      </c>
      <c r="E325" s="143">
        <v>129082.32</v>
      </c>
      <c r="F325" s="144">
        <f t="shared" si="17"/>
        <v>82.5149870553265</v>
      </c>
      <c r="G325" s="138"/>
    </row>
    <row r="326" spans="1:7" s="139" customFormat="1" ht="18.75" customHeight="1">
      <c r="A326" s="171"/>
      <c r="B326" s="134"/>
      <c r="C326" s="194" t="s">
        <v>1584</v>
      </c>
      <c r="D326" s="136">
        <v>738400</v>
      </c>
      <c r="E326" s="136">
        <v>729600.43</v>
      </c>
      <c r="F326" s="137">
        <f t="shared" si="17"/>
        <v>98.80829225352113</v>
      </c>
      <c r="G326" s="138"/>
    </row>
    <row r="327" spans="1:7" s="132" customFormat="1" ht="18.75" customHeight="1">
      <c r="A327" s="126"/>
      <c r="B327" s="127"/>
      <c r="C327" s="128" t="s">
        <v>1585</v>
      </c>
      <c r="D327" s="129">
        <f>SUM(D328,D329)</f>
        <v>517520</v>
      </c>
      <c r="E327" s="129">
        <f>SUM(E328,E329)</f>
        <v>510307</v>
      </c>
      <c r="F327" s="130">
        <f t="shared" si="17"/>
        <v>98.60623744009894</v>
      </c>
      <c r="G327" s="131"/>
    </row>
    <row r="328" spans="1:7" s="139" customFormat="1" ht="27" customHeight="1">
      <c r="A328" s="133"/>
      <c r="B328" s="134"/>
      <c r="C328" s="135" t="s">
        <v>293</v>
      </c>
      <c r="D328" s="136">
        <v>57520</v>
      </c>
      <c r="E328" s="136">
        <v>50307</v>
      </c>
      <c r="F328" s="137">
        <f t="shared" si="17"/>
        <v>87.46001390820585</v>
      </c>
      <c r="G328" s="138"/>
    </row>
    <row r="329" spans="1:7" s="29" customFormat="1" ht="18.75" customHeight="1">
      <c r="A329" s="25"/>
      <c r="B329" s="26"/>
      <c r="C329" s="13" t="s">
        <v>1596</v>
      </c>
      <c r="D329" s="14">
        <v>460000</v>
      </c>
      <c r="E329" s="14">
        <v>460000</v>
      </c>
      <c r="F329" s="27">
        <f>E329/D329*100</f>
        <v>100</v>
      </c>
      <c r="G329" s="352"/>
    </row>
    <row r="330" spans="1:7" s="974" customFormat="1" ht="45.75" customHeight="1" hidden="1">
      <c r="A330" s="968"/>
      <c r="B330" s="969" t="s">
        <v>1206</v>
      </c>
      <c r="C330" s="970" t="s">
        <v>1693</v>
      </c>
      <c r="D330" s="971">
        <f>SUM(D331)</f>
        <v>0</v>
      </c>
      <c r="E330" s="971">
        <f>SUM(E331)</f>
        <v>0</v>
      </c>
      <c r="F330" s="972" t="e">
        <f>E330/D330*100</f>
        <v>#DIV/0!</v>
      </c>
      <c r="G330" s="973"/>
    </row>
    <row r="331" spans="1:7" s="981" customFormat="1" ht="18.75" customHeight="1" hidden="1">
      <c r="A331" s="975"/>
      <c r="B331" s="976"/>
      <c r="C331" s="977" t="s">
        <v>1235</v>
      </c>
      <c r="D331" s="978">
        <f>SUM(D332)</f>
        <v>0</v>
      </c>
      <c r="E331" s="978">
        <f>SUM(E332)</f>
        <v>0</v>
      </c>
      <c r="F331" s="979" t="e">
        <f>E331/D331*100</f>
        <v>#DIV/0!</v>
      </c>
      <c r="G331" s="980"/>
    </row>
    <row r="332" spans="1:7" s="989" customFormat="1" ht="18.75" customHeight="1" hidden="1">
      <c r="A332" s="1011"/>
      <c r="B332" s="984"/>
      <c r="C332" s="1012" t="s">
        <v>1584</v>
      </c>
      <c r="D332" s="986">
        <v>0</v>
      </c>
      <c r="E332" s="986">
        <v>0</v>
      </c>
      <c r="F332" s="987" t="e">
        <f>E332/D332*100</f>
        <v>#DIV/0!</v>
      </c>
      <c r="G332" s="988"/>
    </row>
    <row r="333" spans="1:7" s="989" customFormat="1" ht="18.75" customHeight="1">
      <c r="A333" s="968"/>
      <c r="B333" s="969" t="s">
        <v>764</v>
      </c>
      <c r="C333" s="982" t="s">
        <v>215</v>
      </c>
      <c r="D333" s="971">
        <f>SUM(D334,D339)</f>
        <v>47700</v>
      </c>
      <c r="E333" s="971">
        <f>SUM(E334,E339)</f>
        <v>33317.79</v>
      </c>
      <c r="F333" s="972">
        <f t="shared" si="17"/>
        <v>69.84861635220126</v>
      </c>
      <c r="G333" s="988"/>
    </row>
    <row r="334" spans="1:7" s="981" customFormat="1" ht="18.75" customHeight="1">
      <c r="A334" s="975"/>
      <c r="B334" s="976"/>
      <c r="C334" s="977" t="s">
        <v>1235</v>
      </c>
      <c r="D334" s="978">
        <f>SUM(D335,D338)</f>
        <v>47700</v>
      </c>
      <c r="E334" s="978">
        <f>SUM(E335,E338)</f>
        <v>33317.79</v>
      </c>
      <c r="F334" s="979">
        <f t="shared" si="17"/>
        <v>69.84861635220126</v>
      </c>
      <c r="G334" s="980"/>
    </row>
    <row r="335" spans="1:7" s="989" customFormat="1" ht="18" customHeight="1">
      <c r="A335" s="983"/>
      <c r="B335" s="984"/>
      <c r="C335" s="985" t="s">
        <v>1582</v>
      </c>
      <c r="D335" s="986">
        <f>SUM(D336,D337)</f>
        <v>29700</v>
      </c>
      <c r="E335" s="986">
        <f>SUM(E336,E337)</f>
        <v>15317.79</v>
      </c>
      <c r="F335" s="987">
        <f t="shared" si="17"/>
        <v>51.57505050505051</v>
      </c>
      <c r="G335" s="988"/>
    </row>
    <row r="336" spans="1:7" s="995" customFormat="1" ht="18.75" customHeight="1">
      <c r="A336" s="990"/>
      <c r="B336" s="991"/>
      <c r="C336" s="992" t="s">
        <v>1714</v>
      </c>
      <c r="D336" s="993">
        <v>5996</v>
      </c>
      <c r="E336" s="993">
        <v>5435.56</v>
      </c>
      <c r="F336" s="994">
        <f t="shared" si="17"/>
        <v>90.65310206804537</v>
      </c>
      <c r="G336" s="988"/>
    </row>
    <row r="337" spans="1:7" s="995" customFormat="1" ht="18.75" customHeight="1">
      <c r="A337" s="990"/>
      <c r="B337" s="991"/>
      <c r="C337" s="992" t="s">
        <v>1583</v>
      </c>
      <c r="D337" s="993">
        <v>23704</v>
      </c>
      <c r="E337" s="993">
        <v>9882.23</v>
      </c>
      <c r="F337" s="994">
        <f t="shared" si="17"/>
        <v>41.69013668579142</v>
      </c>
      <c r="G337" s="988"/>
    </row>
    <row r="338" spans="1:7" s="989" customFormat="1" ht="18.75" customHeight="1">
      <c r="A338" s="1011"/>
      <c r="B338" s="984"/>
      <c r="C338" s="1012" t="s">
        <v>1584</v>
      </c>
      <c r="D338" s="986">
        <v>18000</v>
      </c>
      <c r="E338" s="986">
        <v>18000</v>
      </c>
      <c r="F338" s="987">
        <f t="shared" si="17"/>
        <v>100</v>
      </c>
      <c r="G338" s="988"/>
    </row>
    <row r="339" spans="1:7" s="981" customFormat="1" ht="18.75" customHeight="1" hidden="1">
      <c r="A339" s="975"/>
      <c r="B339" s="976"/>
      <c r="C339" s="977" t="s">
        <v>1585</v>
      </c>
      <c r="D339" s="978">
        <f>SUM(D340)</f>
        <v>0</v>
      </c>
      <c r="E339" s="978">
        <f>SUM(E340)</f>
        <v>0</v>
      </c>
      <c r="F339" s="979" t="e">
        <f>E339/D339*100</f>
        <v>#DIV/0!</v>
      </c>
      <c r="G339" s="980"/>
    </row>
    <row r="340" spans="1:7" s="989" customFormat="1" ht="27" customHeight="1" hidden="1">
      <c r="A340" s="983"/>
      <c r="B340" s="984"/>
      <c r="C340" s="985" t="s">
        <v>293</v>
      </c>
      <c r="D340" s="986">
        <v>0</v>
      </c>
      <c r="E340" s="986">
        <v>0</v>
      </c>
      <c r="F340" s="987" t="e">
        <f>E340/D340*100</f>
        <v>#DIV/0!</v>
      </c>
      <c r="G340" s="988"/>
    </row>
    <row r="341" spans="1:8" s="178" customFormat="1" ht="18.75" customHeight="1">
      <c r="A341" s="170" t="s">
        <v>574</v>
      </c>
      <c r="B341" s="113"/>
      <c r="C341" s="154" t="s">
        <v>765</v>
      </c>
      <c r="D341" s="115">
        <f>SUM(D342,D348,D352,D357,D363,D368,D375,D380,D388,D391,D395,D403,D409,D412)</f>
        <v>15427225</v>
      </c>
      <c r="E341" s="115">
        <f>SUM(E342,E348,E352,E357,E363,E368,E375,E380,E388,E391,E395,E403,E409,E412)</f>
        <v>14915212.06</v>
      </c>
      <c r="F341" s="116">
        <f t="shared" si="17"/>
        <v>96.68110797632109</v>
      </c>
      <c r="G341" s="138"/>
      <c r="H341" s="139"/>
    </row>
    <row r="342" spans="1:7" s="125" customFormat="1" ht="18.75" customHeight="1">
      <c r="A342" s="169"/>
      <c r="B342" s="120" t="s">
        <v>575</v>
      </c>
      <c r="C342" s="152" t="s">
        <v>766</v>
      </c>
      <c r="D342" s="122">
        <f>SUM(D343,D346)</f>
        <v>168000</v>
      </c>
      <c r="E342" s="122">
        <f>SUM(E343,E346)</f>
        <v>164966.19</v>
      </c>
      <c r="F342" s="123">
        <f t="shared" si="17"/>
        <v>98.19416071428572</v>
      </c>
      <c r="G342" s="117"/>
    </row>
    <row r="343" spans="1:7" s="132" customFormat="1" ht="18.75" customHeight="1">
      <c r="A343" s="126"/>
      <c r="B343" s="127"/>
      <c r="C343" s="128" t="s">
        <v>1235</v>
      </c>
      <c r="D343" s="129">
        <f>SUM(D344)</f>
        <v>3000</v>
      </c>
      <c r="E343" s="129">
        <f>SUM(E344)</f>
        <v>0</v>
      </c>
      <c r="F343" s="130">
        <f t="shared" si="17"/>
        <v>0</v>
      </c>
      <c r="G343" s="131"/>
    </row>
    <row r="344" spans="1:7" s="139" customFormat="1" ht="18" customHeight="1">
      <c r="A344" s="133"/>
      <c r="B344" s="134"/>
      <c r="C344" s="135" t="s">
        <v>1582</v>
      </c>
      <c r="D344" s="136">
        <f>SUM(D345)</f>
        <v>3000</v>
      </c>
      <c r="E344" s="136">
        <f>SUM(E345)</f>
        <v>0</v>
      </c>
      <c r="F344" s="137">
        <f t="shared" si="17"/>
        <v>0</v>
      </c>
      <c r="G344" s="138"/>
    </row>
    <row r="345" spans="1:7" s="145" customFormat="1" ht="18.75" customHeight="1">
      <c r="A345" s="140"/>
      <c r="B345" s="141"/>
      <c r="C345" s="142" t="s">
        <v>1583</v>
      </c>
      <c r="D345" s="143">
        <v>3000</v>
      </c>
      <c r="E345" s="143">
        <v>0</v>
      </c>
      <c r="F345" s="144">
        <f t="shared" si="17"/>
        <v>0</v>
      </c>
      <c r="G345" s="138"/>
    </row>
    <row r="346" spans="1:7" s="145" customFormat="1" ht="18.75" customHeight="1">
      <c r="A346" s="1681"/>
      <c r="B346" s="141"/>
      <c r="C346" s="128" t="s">
        <v>1585</v>
      </c>
      <c r="D346" s="129">
        <f>SUM(D347)</f>
        <v>165000</v>
      </c>
      <c r="E346" s="129">
        <f>SUM(E347)</f>
        <v>164966.19</v>
      </c>
      <c r="F346" s="130">
        <f>E346/D346*100</f>
        <v>99.97950909090909</v>
      </c>
      <c r="G346" s="138"/>
    </row>
    <row r="347" spans="1:7" s="145" customFormat="1" ht="26.25" customHeight="1">
      <c r="A347" s="1681"/>
      <c r="B347" s="141"/>
      <c r="C347" s="135" t="s">
        <v>293</v>
      </c>
      <c r="D347" s="136">
        <v>165000</v>
      </c>
      <c r="E347" s="136">
        <v>164966.19</v>
      </c>
      <c r="F347" s="137">
        <f>E347/D347*100</f>
        <v>99.97950909090909</v>
      </c>
      <c r="G347" s="138"/>
    </row>
    <row r="348" spans="1:8" s="178" customFormat="1" ht="18.75" customHeight="1">
      <c r="A348" s="169"/>
      <c r="B348" s="120" t="s">
        <v>767</v>
      </c>
      <c r="C348" s="121" t="s">
        <v>768</v>
      </c>
      <c r="D348" s="122">
        <f>SUM(D351)</f>
        <v>1039283</v>
      </c>
      <c r="E348" s="122">
        <f>SUM(E351)</f>
        <v>1038866.19</v>
      </c>
      <c r="F348" s="137">
        <f aca="true" t="shared" si="19" ref="F348:F391">E348/D348*100</f>
        <v>99.95989446570375</v>
      </c>
      <c r="G348" s="138"/>
      <c r="H348" s="139"/>
    </row>
    <row r="349" spans="1:7" s="132" customFormat="1" ht="18.75" customHeight="1">
      <c r="A349" s="126"/>
      <c r="B349" s="127"/>
      <c r="C349" s="128" t="s">
        <v>1235</v>
      </c>
      <c r="D349" s="129">
        <f>SUM(D350)</f>
        <v>1039283</v>
      </c>
      <c r="E349" s="129">
        <f>SUM(E350)</f>
        <v>1038866.19</v>
      </c>
      <c r="F349" s="130">
        <f t="shared" si="19"/>
        <v>99.95989446570375</v>
      </c>
      <c r="G349" s="131"/>
    </row>
    <row r="350" spans="1:7" s="139" customFormat="1" ht="18" customHeight="1">
      <c r="A350" s="133"/>
      <c r="B350" s="134"/>
      <c r="C350" s="135" t="s">
        <v>1582</v>
      </c>
      <c r="D350" s="136">
        <f>SUM(D351)</f>
        <v>1039283</v>
      </c>
      <c r="E350" s="136">
        <f>SUM(E351)</f>
        <v>1038866.19</v>
      </c>
      <c r="F350" s="137">
        <f t="shared" si="19"/>
        <v>99.95989446570375</v>
      </c>
      <c r="G350" s="138"/>
    </row>
    <row r="351" spans="1:7" s="145" customFormat="1" ht="18.75" customHeight="1">
      <c r="A351" s="140"/>
      <c r="B351" s="141"/>
      <c r="C351" s="142" t="s">
        <v>1583</v>
      </c>
      <c r="D351" s="143">
        <v>1039283</v>
      </c>
      <c r="E351" s="143">
        <v>1038866.19</v>
      </c>
      <c r="F351" s="144">
        <f t="shared" si="19"/>
        <v>99.95989446570375</v>
      </c>
      <c r="G351" s="138"/>
    </row>
    <row r="352" spans="1:7" s="139" customFormat="1" ht="18.75" customHeight="1">
      <c r="A352" s="169"/>
      <c r="B352" s="120" t="s">
        <v>586</v>
      </c>
      <c r="C352" s="152" t="s">
        <v>387</v>
      </c>
      <c r="D352" s="122">
        <f>SUM(D353)</f>
        <v>198740</v>
      </c>
      <c r="E352" s="122">
        <f>SUM(E353)</f>
        <v>190380</v>
      </c>
      <c r="F352" s="123">
        <f t="shared" si="19"/>
        <v>95.79349904397706</v>
      </c>
      <c r="G352" s="138"/>
    </row>
    <row r="353" spans="1:7" s="132" customFormat="1" ht="18.75" customHeight="1">
      <c r="A353" s="126"/>
      <c r="B353" s="127"/>
      <c r="C353" s="128" t="s">
        <v>1235</v>
      </c>
      <c r="D353" s="129">
        <f>SUM(D354,D356)</f>
        <v>198740</v>
      </c>
      <c r="E353" s="129">
        <f>SUM(E354,E356)</f>
        <v>190380</v>
      </c>
      <c r="F353" s="130">
        <f t="shared" si="19"/>
        <v>95.79349904397706</v>
      </c>
      <c r="G353" s="131"/>
    </row>
    <row r="354" spans="1:7" s="139" customFormat="1" ht="18" customHeight="1" hidden="1">
      <c r="A354" s="133"/>
      <c r="B354" s="134"/>
      <c r="C354" s="135" t="s">
        <v>1582</v>
      </c>
      <c r="D354" s="136">
        <f>SUM(D355)</f>
        <v>0</v>
      </c>
      <c r="E354" s="136">
        <f>SUM(E355)</f>
        <v>0</v>
      </c>
      <c r="F354" s="137" t="e">
        <f t="shared" si="19"/>
        <v>#DIV/0!</v>
      </c>
      <c r="G354" s="138"/>
    </row>
    <row r="355" spans="1:7" s="145" customFormat="1" ht="18.75" customHeight="1" hidden="1">
      <c r="A355" s="140"/>
      <c r="B355" s="141"/>
      <c r="C355" s="142" t="s">
        <v>1583</v>
      </c>
      <c r="D355" s="143">
        <v>0</v>
      </c>
      <c r="E355" s="143">
        <v>0</v>
      </c>
      <c r="F355" s="144" t="e">
        <f t="shared" si="19"/>
        <v>#DIV/0!</v>
      </c>
      <c r="G355" s="138"/>
    </row>
    <row r="356" spans="1:7" s="139" customFormat="1" ht="18.75" customHeight="1">
      <c r="A356" s="171"/>
      <c r="B356" s="134"/>
      <c r="C356" s="194" t="s">
        <v>1584</v>
      </c>
      <c r="D356" s="136">
        <v>198740</v>
      </c>
      <c r="E356" s="136">
        <v>190380</v>
      </c>
      <c r="F356" s="137">
        <f t="shared" si="19"/>
        <v>95.79349904397706</v>
      </c>
      <c r="G356" s="138"/>
    </row>
    <row r="357" spans="1:7" s="125" customFormat="1" ht="29.25" customHeight="1">
      <c r="A357" s="169"/>
      <c r="B357" s="120" t="s">
        <v>550</v>
      </c>
      <c r="C357" s="1013" t="s">
        <v>1594</v>
      </c>
      <c r="D357" s="122">
        <f>SUM(D358)</f>
        <v>20000</v>
      </c>
      <c r="E357" s="122">
        <f>SUM(E358)</f>
        <v>14494.93</v>
      </c>
      <c r="F357" s="123">
        <f t="shared" si="19"/>
        <v>72.47465</v>
      </c>
      <c r="G357" s="117"/>
    </row>
    <row r="358" spans="1:7" s="132" customFormat="1" ht="18.75" customHeight="1">
      <c r="A358" s="126"/>
      <c r="B358" s="127"/>
      <c r="C358" s="128" t="s">
        <v>1235</v>
      </c>
      <c r="D358" s="129">
        <f>SUM(D359,D362)</f>
        <v>20000</v>
      </c>
      <c r="E358" s="129">
        <f>SUM(E359,E362)</f>
        <v>14494.93</v>
      </c>
      <c r="F358" s="130">
        <f aca="true" t="shared" si="20" ref="F358:F366">E358/D358*100</f>
        <v>72.47465</v>
      </c>
      <c r="G358" s="131"/>
    </row>
    <row r="359" spans="1:7" s="139" customFormat="1" ht="18" customHeight="1">
      <c r="A359" s="133"/>
      <c r="B359" s="134"/>
      <c r="C359" s="135" t="s">
        <v>1582</v>
      </c>
      <c r="D359" s="136">
        <f>SUM(D360,D361)</f>
        <v>10000</v>
      </c>
      <c r="E359" s="136">
        <f>SUM(E360,E361)</f>
        <v>8681.71</v>
      </c>
      <c r="F359" s="137">
        <f t="shared" si="20"/>
        <v>86.8171</v>
      </c>
      <c r="G359" s="138"/>
    </row>
    <row r="360" spans="1:7" s="145" customFormat="1" ht="18.75" customHeight="1" hidden="1">
      <c r="A360" s="140"/>
      <c r="B360" s="141"/>
      <c r="C360" s="142" t="s">
        <v>1714</v>
      </c>
      <c r="D360" s="143">
        <v>0</v>
      </c>
      <c r="E360" s="143">
        <v>0</v>
      </c>
      <c r="F360" s="144" t="e">
        <f t="shared" si="20"/>
        <v>#DIV/0!</v>
      </c>
      <c r="G360" s="138"/>
    </row>
    <row r="361" spans="1:7" s="145" customFormat="1" ht="18.75" customHeight="1">
      <c r="A361" s="140"/>
      <c r="B361" s="141"/>
      <c r="C361" s="142" t="s">
        <v>1583</v>
      </c>
      <c r="D361" s="143">
        <v>10000</v>
      </c>
      <c r="E361" s="143">
        <v>8681.71</v>
      </c>
      <c r="F361" s="144">
        <f t="shared" si="20"/>
        <v>86.8171</v>
      </c>
      <c r="G361" s="138"/>
    </row>
    <row r="362" spans="1:7" s="145" customFormat="1" ht="18.75" customHeight="1">
      <c r="A362" s="1681"/>
      <c r="B362" s="141"/>
      <c r="C362" s="194" t="s">
        <v>1584</v>
      </c>
      <c r="D362" s="136">
        <v>10000</v>
      </c>
      <c r="E362" s="136">
        <v>5813.22</v>
      </c>
      <c r="F362" s="137">
        <f t="shared" si="20"/>
        <v>58.1322</v>
      </c>
      <c r="G362" s="138"/>
    </row>
    <row r="363" spans="1:7" s="185" customFormat="1" ht="18.75" customHeight="1">
      <c r="A363" s="184"/>
      <c r="B363" s="1689" t="s">
        <v>203</v>
      </c>
      <c r="C363" s="1690" t="s">
        <v>204</v>
      </c>
      <c r="D363" s="1691">
        <f>SUM(D364)</f>
        <v>47991</v>
      </c>
      <c r="E363" s="1691">
        <f>SUM(E364)</f>
        <v>47453.719999999994</v>
      </c>
      <c r="F363" s="1692">
        <f t="shared" si="20"/>
        <v>98.88045675230771</v>
      </c>
      <c r="G363" s="2006"/>
    </row>
    <row r="364" spans="1:7" s="187" customFormat="1" ht="18.75" customHeight="1">
      <c r="A364" s="186"/>
      <c r="B364" s="1693"/>
      <c r="C364" s="1694" t="s">
        <v>1235</v>
      </c>
      <c r="D364" s="1695">
        <f>SUM(D365)</f>
        <v>47991</v>
      </c>
      <c r="E364" s="1695">
        <f>SUM(E365)</f>
        <v>47453.719999999994</v>
      </c>
      <c r="F364" s="1696">
        <f t="shared" si="20"/>
        <v>98.88045675230771</v>
      </c>
      <c r="G364" s="2006"/>
    </row>
    <row r="365" spans="1:7" s="183" customFormat="1" ht="18" customHeight="1">
      <c r="A365" s="188"/>
      <c r="B365" s="1697"/>
      <c r="C365" s="1698" t="s">
        <v>1582</v>
      </c>
      <c r="D365" s="1699">
        <f>SUM(D366,D367)</f>
        <v>47991</v>
      </c>
      <c r="E365" s="1699">
        <f>SUM(E366,E367)</f>
        <v>47453.719999999994</v>
      </c>
      <c r="F365" s="1700">
        <f t="shared" si="20"/>
        <v>98.88045675230771</v>
      </c>
      <c r="G365" s="2006"/>
    </row>
    <row r="366" spans="1:7" s="190" customFormat="1" ht="18.75" customHeight="1">
      <c r="A366" s="189"/>
      <c r="B366" s="1701"/>
      <c r="C366" s="1702" t="s">
        <v>1714</v>
      </c>
      <c r="D366" s="1703">
        <v>45032</v>
      </c>
      <c r="E366" s="1703">
        <v>44698.95</v>
      </c>
      <c r="F366" s="1704">
        <f t="shared" si="20"/>
        <v>99.26041481613075</v>
      </c>
      <c r="G366" s="2006"/>
    </row>
    <row r="367" spans="1:7" s="190" customFormat="1" ht="18.75" customHeight="1">
      <c r="A367" s="1687"/>
      <c r="B367" s="1701"/>
      <c r="C367" s="1702" t="s">
        <v>1583</v>
      </c>
      <c r="D367" s="1703">
        <v>2959</v>
      </c>
      <c r="E367" s="1703">
        <v>2754.77</v>
      </c>
      <c r="F367" s="1704">
        <f>E367/D367*100</f>
        <v>93.0980060831362</v>
      </c>
      <c r="G367" s="1688"/>
    </row>
    <row r="368" spans="1:7" s="125" customFormat="1" ht="40.5" customHeight="1">
      <c r="A368" s="169"/>
      <c r="B368" s="120" t="s">
        <v>576</v>
      </c>
      <c r="C368" s="103" t="s">
        <v>1253</v>
      </c>
      <c r="D368" s="122">
        <f>SUM(D369)</f>
        <v>5987844</v>
      </c>
      <c r="E368" s="122">
        <f>SUM(E369)</f>
        <v>5735045.32</v>
      </c>
      <c r="F368" s="137">
        <f t="shared" si="19"/>
        <v>95.77813516851809</v>
      </c>
      <c r="G368" s="117"/>
    </row>
    <row r="369" spans="1:7" s="132" customFormat="1" ht="18.75" customHeight="1">
      <c r="A369" s="126"/>
      <c r="B369" s="127"/>
      <c r="C369" s="128" t="s">
        <v>1235</v>
      </c>
      <c r="D369" s="129">
        <f>SUM(D370,D373,D374)</f>
        <v>5987844</v>
      </c>
      <c r="E369" s="129">
        <f>SUM(E370,E373,E374)</f>
        <v>5735045.32</v>
      </c>
      <c r="F369" s="130">
        <f t="shared" si="19"/>
        <v>95.77813516851809</v>
      </c>
      <c r="G369" s="131"/>
    </row>
    <row r="370" spans="1:7" s="139" customFormat="1" ht="18" customHeight="1">
      <c r="A370" s="133"/>
      <c r="B370" s="134"/>
      <c r="C370" s="135" t="s">
        <v>1582</v>
      </c>
      <c r="D370" s="136">
        <f>SUM(D371,D372)</f>
        <v>500595</v>
      </c>
      <c r="E370" s="136">
        <f>SUM(E371,E372)</f>
        <v>468979.49</v>
      </c>
      <c r="F370" s="137">
        <f t="shared" si="19"/>
        <v>93.68441354787802</v>
      </c>
      <c r="G370" s="138"/>
    </row>
    <row r="371" spans="1:7" s="145" customFormat="1" ht="18.75" customHeight="1">
      <c r="A371" s="140"/>
      <c r="B371" s="141"/>
      <c r="C371" s="142" t="s">
        <v>1714</v>
      </c>
      <c r="D371" s="143">
        <v>439349</v>
      </c>
      <c r="E371" s="143">
        <v>423120.33</v>
      </c>
      <c r="F371" s="144">
        <f t="shared" si="19"/>
        <v>96.3062007652231</v>
      </c>
      <c r="G371" s="138"/>
    </row>
    <row r="372" spans="1:7" s="145" customFormat="1" ht="18.75" customHeight="1">
      <c r="A372" s="140"/>
      <c r="B372" s="141"/>
      <c r="C372" s="142" t="s">
        <v>1583</v>
      </c>
      <c r="D372" s="143">
        <v>61246</v>
      </c>
      <c r="E372" s="143">
        <v>45859.16</v>
      </c>
      <c r="F372" s="144">
        <f t="shared" si="19"/>
        <v>74.87698788492311</v>
      </c>
      <c r="G372" s="138"/>
    </row>
    <row r="373" spans="1:7" s="139" customFormat="1" ht="18.75" customHeight="1">
      <c r="A373" s="171"/>
      <c r="B373" s="134"/>
      <c r="C373" s="194" t="s">
        <v>1584</v>
      </c>
      <c r="D373" s="136">
        <v>130000</v>
      </c>
      <c r="E373" s="136">
        <v>71700.2</v>
      </c>
      <c r="F373" s="137">
        <f t="shared" si="19"/>
        <v>55.154</v>
      </c>
      <c r="G373" s="138"/>
    </row>
    <row r="374" spans="1:7" s="139" customFormat="1" ht="18.75" customHeight="1">
      <c r="A374" s="171"/>
      <c r="B374" s="134"/>
      <c r="C374" s="177" t="s">
        <v>1588</v>
      </c>
      <c r="D374" s="136">
        <v>5357249</v>
      </c>
      <c r="E374" s="136">
        <v>5194365.63</v>
      </c>
      <c r="F374" s="137">
        <f t="shared" si="19"/>
        <v>96.9595706677065</v>
      </c>
      <c r="G374" s="138"/>
    </row>
    <row r="375" spans="1:7" s="125" customFormat="1" ht="65.25" customHeight="1">
      <c r="A375" s="169"/>
      <c r="B375" s="181" t="s">
        <v>577</v>
      </c>
      <c r="C375" s="121" t="s">
        <v>1232</v>
      </c>
      <c r="D375" s="122">
        <f>D376</f>
        <v>140500</v>
      </c>
      <c r="E375" s="122">
        <f>E376</f>
        <v>131112.16</v>
      </c>
      <c r="F375" s="123">
        <f t="shared" si="19"/>
        <v>93.31826334519573</v>
      </c>
      <c r="G375" s="117"/>
    </row>
    <row r="376" spans="1:7" s="132" customFormat="1" ht="18.75" customHeight="1">
      <c r="A376" s="126"/>
      <c r="B376" s="127"/>
      <c r="C376" s="128" t="s">
        <v>1235</v>
      </c>
      <c r="D376" s="129">
        <f>SUM(D377,D379)</f>
        <v>140500</v>
      </c>
      <c r="E376" s="129">
        <f>SUM(E377,E379)</f>
        <v>131112.16</v>
      </c>
      <c r="F376" s="130">
        <f t="shared" si="19"/>
        <v>93.31826334519573</v>
      </c>
      <c r="G376" s="131"/>
    </row>
    <row r="377" spans="1:7" s="139" customFormat="1" ht="18" customHeight="1">
      <c r="A377" s="133"/>
      <c r="B377" s="134"/>
      <c r="C377" s="135" t="s">
        <v>1582</v>
      </c>
      <c r="D377" s="136">
        <f>SUM(D378)</f>
        <v>135500</v>
      </c>
      <c r="E377" s="136">
        <f>SUM(E378)</f>
        <v>128373.12</v>
      </c>
      <c r="F377" s="137">
        <f t="shared" si="19"/>
        <v>94.74030996309962</v>
      </c>
      <c r="G377" s="138"/>
    </row>
    <row r="378" spans="1:7" s="145" customFormat="1" ht="18.75" customHeight="1">
      <c r="A378" s="140"/>
      <c r="B378" s="141"/>
      <c r="C378" s="142" t="s">
        <v>1714</v>
      </c>
      <c r="D378" s="143">
        <v>135500</v>
      </c>
      <c r="E378" s="143">
        <v>128373.12</v>
      </c>
      <c r="F378" s="144">
        <f>E378/D378*100</f>
        <v>94.74030996309962</v>
      </c>
      <c r="G378" s="138"/>
    </row>
    <row r="379" spans="1:7" s="139" customFormat="1" ht="18.75" customHeight="1">
      <c r="A379" s="171"/>
      <c r="B379" s="134"/>
      <c r="C379" s="194" t="s">
        <v>1584</v>
      </c>
      <c r="D379" s="136">
        <v>5000</v>
      </c>
      <c r="E379" s="136">
        <v>2739.04</v>
      </c>
      <c r="F379" s="137">
        <f t="shared" si="19"/>
        <v>54.7808</v>
      </c>
      <c r="G379" s="138"/>
    </row>
    <row r="380" spans="1:7" s="125" customFormat="1" ht="30" customHeight="1">
      <c r="A380" s="169"/>
      <c r="B380" s="181" t="s">
        <v>578</v>
      </c>
      <c r="C380" s="121" t="s">
        <v>449</v>
      </c>
      <c r="D380" s="122">
        <f>D381</f>
        <v>1561300</v>
      </c>
      <c r="E380" s="122">
        <f>E381</f>
        <v>1541248.06</v>
      </c>
      <c r="F380" s="123">
        <f t="shared" si="19"/>
        <v>98.71568948952796</v>
      </c>
      <c r="G380" s="117"/>
    </row>
    <row r="381" spans="1:7" s="132" customFormat="1" ht="18.75" customHeight="1">
      <c r="A381" s="126"/>
      <c r="B381" s="127"/>
      <c r="C381" s="128" t="s">
        <v>1235</v>
      </c>
      <c r="D381" s="129">
        <f>SUM(D382,D385,D386,D387)</f>
        <v>1561300</v>
      </c>
      <c r="E381" s="129">
        <f>SUM(E382,E385,E386,E387)</f>
        <v>1541248.06</v>
      </c>
      <c r="F381" s="130">
        <f t="shared" si="19"/>
        <v>98.71568948952796</v>
      </c>
      <c r="G381" s="131"/>
    </row>
    <row r="382" spans="1:7" s="139" customFormat="1" ht="18" customHeight="1">
      <c r="A382" s="133"/>
      <c r="B382" s="134"/>
      <c r="C382" s="135" t="s">
        <v>1582</v>
      </c>
      <c r="D382" s="136">
        <f>SUM(D383,D384)</f>
        <v>31000</v>
      </c>
      <c r="E382" s="136">
        <f>SUM(E383,E384)</f>
        <v>23931.23</v>
      </c>
      <c r="F382" s="137">
        <f t="shared" si="19"/>
        <v>77.19751612903227</v>
      </c>
      <c r="G382" s="138"/>
    </row>
    <row r="383" spans="1:7" s="145" customFormat="1" ht="18.75" customHeight="1">
      <c r="A383" s="140"/>
      <c r="B383" s="141"/>
      <c r="C383" s="142" t="s">
        <v>1714</v>
      </c>
      <c r="D383" s="143">
        <v>1000</v>
      </c>
      <c r="E383" s="143">
        <v>0</v>
      </c>
      <c r="F383" s="144">
        <f t="shared" si="19"/>
        <v>0</v>
      </c>
      <c r="G383" s="138"/>
    </row>
    <row r="384" spans="1:7" s="145" customFormat="1" ht="18.75" customHeight="1">
      <c r="A384" s="140"/>
      <c r="B384" s="141"/>
      <c r="C384" s="142" t="s">
        <v>1583</v>
      </c>
      <c r="D384" s="143">
        <v>30000</v>
      </c>
      <c r="E384" s="143">
        <v>23931.23</v>
      </c>
      <c r="F384" s="144">
        <f t="shared" si="19"/>
        <v>79.77076666666667</v>
      </c>
      <c r="G384" s="138"/>
    </row>
    <row r="385" spans="1:7" s="139" customFormat="1" ht="18.75" customHeight="1">
      <c r="A385" s="171"/>
      <c r="B385" s="134"/>
      <c r="C385" s="194" t="s">
        <v>1584</v>
      </c>
      <c r="D385" s="136">
        <v>45000</v>
      </c>
      <c r="E385" s="136">
        <v>32432.78</v>
      </c>
      <c r="F385" s="137">
        <f t="shared" si="19"/>
        <v>72.07284444444444</v>
      </c>
      <c r="G385" s="138"/>
    </row>
    <row r="386" spans="1:7" s="139" customFormat="1" ht="18.75" customHeight="1">
      <c r="A386" s="171"/>
      <c r="B386" s="134"/>
      <c r="C386" s="177" t="s">
        <v>1588</v>
      </c>
      <c r="D386" s="136">
        <v>1448500</v>
      </c>
      <c r="E386" s="136">
        <v>1448084.05</v>
      </c>
      <c r="F386" s="137">
        <f t="shared" si="19"/>
        <v>99.97128408698654</v>
      </c>
      <c r="G386" s="138"/>
    </row>
    <row r="387" spans="1:7" s="1020" customFormat="1" ht="18.75" customHeight="1">
      <c r="A387" s="1014"/>
      <c r="B387" s="1015"/>
      <c r="C387" s="1016" t="s">
        <v>1596</v>
      </c>
      <c r="D387" s="1017">
        <v>36800</v>
      </c>
      <c r="E387" s="1017">
        <v>36800</v>
      </c>
      <c r="F387" s="1018">
        <f>E387/D387*100</f>
        <v>100</v>
      </c>
      <c r="G387" s="1019"/>
    </row>
    <row r="388" spans="1:7" s="125" customFormat="1" ht="18.75" customHeight="1">
      <c r="A388" s="169"/>
      <c r="B388" s="120" t="s">
        <v>579</v>
      </c>
      <c r="C388" s="152" t="s">
        <v>30</v>
      </c>
      <c r="D388" s="122">
        <f>D390</f>
        <v>1121000</v>
      </c>
      <c r="E388" s="122">
        <f>E390</f>
        <v>1118002.09</v>
      </c>
      <c r="F388" s="123">
        <f t="shared" si="19"/>
        <v>99.73256824264051</v>
      </c>
      <c r="G388" s="117"/>
    </row>
    <row r="389" spans="1:7" s="132" customFormat="1" ht="18.75" customHeight="1">
      <c r="A389" s="126"/>
      <c r="B389" s="127"/>
      <c r="C389" s="128" t="s">
        <v>1235</v>
      </c>
      <c r="D389" s="129">
        <f>SUM(D390)</f>
        <v>1121000</v>
      </c>
      <c r="E389" s="129">
        <f>SUM(E390)</f>
        <v>1118002.09</v>
      </c>
      <c r="F389" s="130">
        <f t="shared" si="19"/>
        <v>99.73256824264051</v>
      </c>
      <c r="G389" s="131"/>
    </row>
    <row r="390" spans="1:7" s="139" customFormat="1" ht="18.75" customHeight="1">
      <c r="A390" s="171"/>
      <c r="B390" s="134"/>
      <c r="C390" s="177" t="s">
        <v>1588</v>
      </c>
      <c r="D390" s="136">
        <v>1121000</v>
      </c>
      <c r="E390" s="136">
        <v>1118002.09</v>
      </c>
      <c r="F390" s="137">
        <f t="shared" si="19"/>
        <v>99.73256824264051</v>
      </c>
      <c r="G390" s="138"/>
    </row>
    <row r="391" spans="1:7" s="125" customFormat="1" ht="18.75" customHeight="1">
      <c r="A391" s="169"/>
      <c r="B391" s="120" t="s">
        <v>547</v>
      </c>
      <c r="C391" s="152" t="s">
        <v>1739</v>
      </c>
      <c r="D391" s="122">
        <f>SUM(D392)</f>
        <v>971274</v>
      </c>
      <c r="E391" s="122">
        <f>SUM(E392)</f>
        <v>931323.49</v>
      </c>
      <c r="F391" s="123">
        <f t="shared" si="19"/>
        <v>95.88679301618286</v>
      </c>
      <c r="G391" s="117"/>
    </row>
    <row r="392" spans="1:7" s="132" customFormat="1" ht="18.75" customHeight="1">
      <c r="A392" s="126"/>
      <c r="B392" s="127"/>
      <c r="C392" s="128" t="s">
        <v>1235</v>
      </c>
      <c r="D392" s="129">
        <f>SUM(D393,D394)</f>
        <v>971274</v>
      </c>
      <c r="E392" s="129">
        <f>SUM(E393,E394)</f>
        <v>931323.49</v>
      </c>
      <c r="F392" s="130">
        <f aca="true" t="shared" si="21" ref="F392:F410">E392/D392*100</f>
        <v>95.88679301618286</v>
      </c>
      <c r="G392" s="131"/>
    </row>
    <row r="393" spans="1:7" s="139" customFormat="1" ht="18.75" customHeight="1">
      <c r="A393" s="171"/>
      <c r="B393" s="134"/>
      <c r="C393" s="177" t="s">
        <v>1584</v>
      </c>
      <c r="D393" s="136">
        <v>15000</v>
      </c>
      <c r="E393" s="136">
        <v>5035.9</v>
      </c>
      <c r="F393" s="137">
        <f t="shared" si="21"/>
        <v>33.57266666666666</v>
      </c>
      <c r="G393" s="138"/>
    </row>
    <row r="394" spans="1:7" s="139" customFormat="1" ht="18.75" customHeight="1">
      <c r="A394" s="171"/>
      <c r="B394" s="134"/>
      <c r="C394" s="177" t="s">
        <v>1588</v>
      </c>
      <c r="D394" s="136">
        <v>956274</v>
      </c>
      <c r="E394" s="136">
        <v>926287.59</v>
      </c>
      <c r="F394" s="137">
        <f t="shared" si="21"/>
        <v>96.86424497581237</v>
      </c>
      <c r="G394" s="138"/>
    </row>
    <row r="395" spans="1:7" s="139" customFormat="1" ht="18.75" customHeight="1">
      <c r="A395" s="169"/>
      <c r="B395" s="120" t="s">
        <v>580</v>
      </c>
      <c r="C395" s="121" t="s">
        <v>31</v>
      </c>
      <c r="D395" s="122">
        <f>SUM(D396,D401)</f>
        <v>2380911</v>
      </c>
      <c r="E395" s="122">
        <f>SUM(E396,E401)</f>
        <v>2370701.41</v>
      </c>
      <c r="F395" s="123">
        <f t="shared" si="21"/>
        <v>99.57118976727816</v>
      </c>
      <c r="G395" s="138"/>
    </row>
    <row r="396" spans="1:7" s="132" customFormat="1" ht="18.75" customHeight="1">
      <c r="A396" s="126"/>
      <c r="B396" s="127"/>
      <c r="C396" s="128" t="s">
        <v>1235</v>
      </c>
      <c r="D396" s="129">
        <f>SUM(D397,D400)</f>
        <v>2346911</v>
      </c>
      <c r="E396" s="129">
        <f>SUM(E397,E400)</f>
        <v>2341894.81</v>
      </c>
      <c r="F396" s="130">
        <f t="shared" si="21"/>
        <v>99.78626415743929</v>
      </c>
      <c r="G396" s="131"/>
    </row>
    <row r="397" spans="1:7" s="139" customFormat="1" ht="18" customHeight="1">
      <c r="A397" s="133"/>
      <c r="B397" s="134"/>
      <c r="C397" s="135" t="s">
        <v>1582</v>
      </c>
      <c r="D397" s="136">
        <f>SUM(D398,D399)</f>
        <v>2329022</v>
      </c>
      <c r="E397" s="136">
        <f>SUM(E398,E399)</f>
        <v>2324006.79</v>
      </c>
      <c r="F397" s="137">
        <f t="shared" si="21"/>
        <v>99.78466455018459</v>
      </c>
      <c r="G397" s="138"/>
    </row>
    <row r="398" spans="1:7" s="139" customFormat="1" ht="18" customHeight="1">
      <c r="A398" s="133"/>
      <c r="B398" s="134"/>
      <c r="C398" s="142" t="s">
        <v>1714</v>
      </c>
      <c r="D398" s="143">
        <v>1863044</v>
      </c>
      <c r="E398" s="143">
        <v>1862886.95</v>
      </c>
      <c r="F398" s="144">
        <f t="shared" si="21"/>
        <v>99.99157024740157</v>
      </c>
      <c r="G398" s="138"/>
    </row>
    <row r="399" spans="1:7" s="145" customFormat="1" ht="18.75" customHeight="1">
      <c r="A399" s="140"/>
      <c r="B399" s="141"/>
      <c r="C399" s="142" t="s">
        <v>1583</v>
      </c>
      <c r="D399" s="143">
        <v>465978</v>
      </c>
      <c r="E399" s="143">
        <v>461119.84</v>
      </c>
      <c r="F399" s="144">
        <f t="shared" si="21"/>
        <v>98.95742717467348</v>
      </c>
      <c r="G399" s="138"/>
    </row>
    <row r="400" spans="1:7" s="139" customFormat="1" ht="18.75" customHeight="1">
      <c r="A400" s="171"/>
      <c r="B400" s="134"/>
      <c r="C400" s="194" t="s">
        <v>1588</v>
      </c>
      <c r="D400" s="136">
        <v>17889</v>
      </c>
      <c r="E400" s="136">
        <v>17888.02</v>
      </c>
      <c r="F400" s="137">
        <f t="shared" si="21"/>
        <v>99.99452177315669</v>
      </c>
      <c r="G400" s="138"/>
    </row>
    <row r="401" spans="1:7" s="132" customFormat="1" ht="18.75" customHeight="1">
      <c r="A401" s="126"/>
      <c r="B401" s="127"/>
      <c r="C401" s="128" t="s">
        <v>1585</v>
      </c>
      <c r="D401" s="129">
        <f>SUM(D402)</f>
        <v>34000</v>
      </c>
      <c r="E401" s="129">
        <f>SUM(E402)</f>
        <v>28806.6</v>
      </c>
      <c r="F401" s="130">
        <f t="shared" si="21"/>
        <v>84.72529411764705</v>
      </c>
      <c r="G401" s="131"/>
    </row>
    <row r="402" spans="1:7" s="139" customFormat="1" ht="29.25" customHeight="1">
      <c r="A402" s="133"/>
      <c r="B402" s="134"/>
      <c r="C402" s="135" t="s">
        <v>293</v>
      </c>
      <c r="D402" s="136">
        <v>34000</v>
      </c>
      <c r="E402" s="136">
        <v>28806.6</v>
      </c>
      <c r="F402" s="137">
        <f t="shared" si="21"/>
        <v>84.72529411764705</v>
      </c>
      <c r="G402" s="138"/>
    </row>
    <row r="403" spans="1:8" s="178" customFormat="1" ht="27" customHeight="1">
      <c r="A403" s="169"/>
      <c r="B403" s="120" t="s">
        <v>582</v>
      </c>
      <c r="C403" s="121" t="s">
        <v>34</v>
      </c>
      <c r="D403" s="122">
        <f>D404</f>
        <v>911710</v>
      </c>
      <c r="E403" s="122">
        <f>E404</f>
        <v>909904.5</v>
      </c>
      <c r="F403" s="123">
        <f t="shared" si="21"/>
        <v>99.80196553728707</v>
      </c>
      <c r="G403" s="138"/>
      <c r="H403" s="139"/>
    </row>
    <row r="404" spans="1:7" s="132" customFormat="1" ht="18.75" customHeight="1">
      <c r="A404" s="126"/>
      <c r="B404" s="127"/>
      <c r="C404" s="128" t="s">
        <v>1235</v>
      </c>
      <c r="D404" s="129">
        <f>SUM(D405,D408)</f>
        <v>911710</v>
      </c>
      <c r="E404" s="129">
        <f>SUM(E405,E408)</f>
        <v>909904.5</v>
      </c>
      <c r="F404" s="130">
        <f t="shared" si="21"/>
        <v>99.80196553728707</v>
      </c>
      <c r="G404" s="131"/>
    </row>
    <row r="405" spans="1:7" s="139" customFormat="1" ht="18" customHeight="1">
      <c r="A405" s="133"/>
      <c r="B405" s="134"/>
      <c r="C405" s="135" t="s">
        <v>1582</v>
      </c>
      <c r="D405" s="136">
        <f>SUM(D407,D406)</f>
        <v>897953</v>
      </c>
      <c r="E405" s="136">
        <f>SUM(E407,E406)</f>
        <v>896238.13</v>
      </c>
      <c r="F405" s="137">
        <f t="shared" si="21"/>
        <v>99.80902452578253</v>
      </c>
      <c r="G405" s="138"/>
    </row>
    <row r="406" spans="1:7" s="145" customFormat="1" ht="18.75" customHeight="1">
      <c r="A406" s="140"/>
      <c r="B406" s="141"/>
      <c r="C406" s="142" t="s">
        <v>1714</v>
      </c>
      <c r="D406" s="143">
        <v>842520</v>
      </c>
      <c r="E406" s="143">
        <v>841766.35</v>
      </c>
      <c r="F406" s="144">
        <f t="shared" si="21"/>
        <v>99.9105481175521</v>
      </c>
      <c r="G406" s="138"/>
    </row>
    <row r="407" spans="1:7" s="145" customFormat="1" ht="18.75" customHeight="1">
      <c r="A407" s="140"/>
      <c r="B407" s="141"/>
      <c r="C407" s="142" t="s">
        <v>1583</v>
      </c>
      <c r="D407" s="143">
        <v>55433</v>
      </c>
      <c r="E407" s="143">
        <v>54471.78</v>
      </c>
      <c r="F407" s="144">
        <f t="shared" si="21"/>
        <v>98.26597874912055</v>
      </c>
      <c r="G407" s="138"/>
    </row>
    <row r="408" spans="1:7" s="139" customFormat="1" ht="18.75" customHeight="1">
      <c r="A408" s="171"/>
      <c r="B408" s="134"/>
      <c r="C408" s="194" t="s">
        <v>1588</v>
      </c>
      <c r="D408" s="136">
        <v>13757</v>
      </c>
      <c r="E408" s="136">
        <v>13666.37</v>
      </c>
      <c r="F408" s="137">
        <f t="shared" si="21"/>
        <v>99.34120811223379</v>
      </c>
      <c r="G408" s="138"/>
    </row>
    <row r="409" spans="1:7" s="139" customFormat="1" ht="18.75" customHeight="1" hidden="1">
      <c r="A409" s="169"/>
      <c r="B409" s="120" t="s">
        <v>1645</v>
      </c>
      <c r="C409" s="152" t="s">
        <v>1734</v>
      </c>
      <c r="D409" s="122">
        <f>SUM(D410)</f>
        <v>0</v>
      </c>
      <c r="E409" s="122">
        <f>SUM(E410)</f>
        <v>0</v>
      </c>
      <c r="F409" s="123" t="e">
        <f t="shared" si="21"/>
        <v>#DIV/0!</v>
      </c>
      <c r="G409" s="138"/>
    </row>
    <row r="410" spans="1:7" s="132" customFormat="1" ht="18.75" customHeight="1" hidden="1">
      <c r="A410" s="126"/>
      <c r="B410" s="127"/>
      <c r="C410" s="128" t="s">
        <v>1235</v>
      </c>
      <c r="D410" s="129">
        <f>SUM(D411)</f>
        <v>0</v>
      </c>
      <c r="E410" s="129">
        <f>SUM(E411)</f>
        <v>0</v>
      </c>
      <c r="F410" s="130" t="e">
        <f t="shared" si="21"/>
        <v>#DIV/0!</v>
      </c>
      <c r="G410" s="131"/>
    </row>
    <row r="411" spans="1:7" s="139" customFormat="1" ht="18.75" customHeight="1" hidden="1">
      <c r="A411" s="171"/>
      <c r="B411" s="134"/>
      <c r="C411" s="194" t="s">
        <v>1588</v>
      </c>
      <c r="D411" s="136">
        <v>0</v>
      </c>
      <c r="E411" s="136">
        <v>0</v>
      </c>
      <c r="F411" s="137" t="e">
        <f>E411/D411*100</f>
        <v>#DIV/0!</v>
      </c>
      <c r="G411" s="138"/>
    </row>
    <row r="412" spans="1:7" s="139" customFormat="1" ht="18.75" customHeight="1">
      <c r="A412" s="169"/>
      <c r="B412" s="120" t="s">
        <v>584</v>
      </c>
      <c r="C412" s="152" t="s">
        <v>215</v>
      </c>
      <c r="D412" s="122">
        <f>SUM(D413,D418)</f>
        <v>878672</v>
      </c>
      <c r="E412" s="122">
        <f>SUM(E413,E418)</f>
        <v>721714</v>
      </c>
      <c r="F412" s="123">
        <f aca="true" t="shared" si="22" ref="F412:F422">E412/D412*100</f>
        <v>82.13690660451226</v>
      </c>
      <c r="G412" s="138"/>
    </row>
    <row r="413" spans="1:7" s="132" customFormat="1" ht="18.75" customHeight="1">
      <c r="A413" s="126"/>
      <c r="B413" s="127"/>
      <c r="C413" s="128" t="s">
        <v>1235</v>
      </c>
      <c r="D413" s="129">
        <f>SUM(D414,D417)</f>
        <v>713672</v>
      </c>
      <c r="E413" s="129">
        <f>SUM(E414,E417)</f>
        <v>706462</v>
      </c>
      <c r="F413" s="130">
        <f t="shared" si="22"/>
        <v>98.98973197771525</v>
      </c>
      <c r="G413" s="131"/>
    </row>
    <row r="414" spans="1:7" s="139" customFormat="1" ht="18" customHeight="1">
      <c r="A414" s="133"/>
      <c r="B414" s="134"/>
      <c r="C414" s="135" t="s">
        <v>1582</v>
      </c>
      <c r="D414" s="136">
        <f>SUM(D416,D415)</f>
        <v>4851</v>
      </c>
      <c r="E414" s="136">
        <f>SUM(E416,E415)</f>
        <v>4500</v>
      </c>
      <c r="F414" s="137">
        <f aca="true" t="shared" si="23" ref="F414:F419">E414/D414*100</f>
        <v>92.76437847866418</v>
      </c>
      <c r="G414" s="138"/>
    </row>
    <row r="415" spans="1:7" s="145" customFormat="1" ht="18.75" customHeight="1">
      <c r="A415" s="140"/>
      <c r="B415" s="141"/>
      <c r="C415" s="142" t="s">
        <v>1714</v>
      </c>
      <c r="D415" s="143">
        <v>4851</v>
      </c>
      <c r="E415" s="143">
        <v>4500</v>
      </c>
      <c r="F415" s="144">
        <f t="shared" si="23"/>
        <v>92.76437847866418</v>
      </c>
      <c r="G415" s="138"/>
    </row>
    <row r="416" spans="1:7" s="145" customFormat="1" ht="18.75" customHeight="1" hidden="1">
      <c r="A416" s="140"/>
      <c r="B416" s="141"/>
      <c r="C416" s="142" t="s">
        <v>1583</v>
      </c>
      <c r="D416" s="143">
        <v>0</v>
      </c>
      <c r="E416" s="143">
        <v>0</v>
      </c>
      <c r="F416" s="144" t="e">
        <f t="shared" si="23"/>
        <v>#DIV/0!</v>
      </c>
      <c r="G416" s="138"/>
    </row>
    <row r="417" spans="1:7" s="139" customFormat="1" ht="18.75" customHeight="1">
      <c r="A417" s="171"/>
      <c r="B417" s="134"/>
      <c r="C417" s="194" t="s">
        <v>1588</v>
      </c>
      <c r="D417" s="136">
        <v>708821</v>
      </c>
      <c r="E417" s="136">
        <v>701962</v>
      </c>
      <c r="F417" s="137">
        <f t="shared" si="23"/>
        <v>99.03233679589064</v>
      </c>
      <c r="G417" s="138"/>
    </row>
    <row r="418" spans="1:7" s="139" customFormat="1" ht="18.75" customHeight="1">
      <c r="A418" s="171"/>
      <c r="B418" s="134"/>
      <c r="C418" s="128" t="s">
        <v>1585</v>
      </c>
      <c r="D418" s="129">
        <f>SUM(D419)</f>
        <v>165000</v>
      </c>
      <c r="E418" s="129">
        <f>SUM(E419)</f>
        <v>15252</v>
      </c>
      <c r="F418" s="130">
        <f t="shared" si="23"/>
        <v>9.243636363636364</v>
      </c>
      <c r="G418" s="138"/>
    </row>
    <row r="419" spans="1:7" s="139" customFormat="1" ht="23.25" customHeight="1">
      <c r="A419" s="171"/>
      <c r="B419" s="134"/>
      <c r="C419" s="135" t="s">
        <v>293</v>
      </c>
      <c r="D419" s="136">
        <v>165000</v>
      </c>
      <c r="E419" s="136">
        <v>15252</v>
      </c>
      <c r="F419" s="137">
        <f t="shared" si="23"/>
        <v>9.243636363636364</v>
      </c>
      <c r="G419" s="138"/>
    </row>
    <row r="420" spans="1:7" s="139" customFormat="1" ht="27" customHeight="1">
      <c r="A420" s="170" t="s">
        <v>25</v>
      </c>
      <c r="B420" s="113"/>
      <c r="C420" s="114" t="s">
        <v>1095</v>
      </c>
      <c r="D420" s="115">
        <f>SUM(D421,D430)</f>
        <v>3313664</v>
      </c>
      <c r="E420" s="115">
        <f>SUM(E421,E430)</f>
        <v>3145691.46</v>
      </c>
      <c r="F420" s="116">
        <f t="shared" si="22"/>
        <v>94.93091212627472</v>
      </c>
      <c r="G420" s="138"/>
    </row>
    <row r="421" spans="1:8" s="178" customFormat="1" ht="18.75" customHeight="1">
      <c r="A421" s="169"/>
      <c r="B421" s="120" t="s">
        <v>26</v>
      </c>
      <c r="C421" s="121" t="s">
        <v>1096</v>
      </c>
      <c r="D421" s="122">
        <f>SUM(D422,D428)</f>
        <v>2202864</v>
      </c>
      <c r="E421" s="122">
        <f>SUM(E422,E428)</f>
        <v>2122284</v>
      </c>
      <c r="F421" s="123">
        <f t="shared" si="22"/>
        <v>96.34203473296581</v>
      </c>
      <c r="G421" s="138"/>
      <c r="H421" s="139"/>
    </row>
    <row r="422" spans="1:7" s="132" customFormat="1" ht="18.75" customHeight="1">
      <c r="A422" s="126"/>
      <c r="B422" s="127"/>
      <c r="C422" s="128" t="s">
        <v>1235</v>
      </c>
      <c r="D422" s="129">
        <f>SUM(D423,D426,D427)</f>
        <v>1902864</v>
      </c>
      <c r="E422" s="129">
        <f>SUM(E423,E426,E427)</f>
        <v>1900664</v>
      </c>
      <c r="F422" s="130">
        <f t="shared" si="22"/>
        <v>99.88438480101574</v>
      </c>
      <c r="G422" s="131"/>
    </row>
    <row r="423" spans="1:7" s="139" customFormat="1" ht="18" customHeight="1">
      <c r="A423" s="133"/>
      <c r="B423" s="134"/>
      <c r="C423" s="135" t="s">
        <v>1582</v>
      </c>
      <c r="D423" s="136">
        <f>SUM(D424,D425)</f>
        <v>1852398</v>
      </c>
      <c r="E423" s="136">
        <f>SUM(E424,E425)</f>
        <v>1852398.09</v>
      </c>
      <c r="F423" s="137">
        <f aca="true" t="shared" si="24" ref="F423:F466">E423/D423*100</f>
        <v>100.00000485856712</v>
      </c>
      <c r="G423" s="138"/>
    </row>
    <row r="424" spans="1:7" s="145" customFormat="1" ht="18.75" customHeight="1">
      <c r="A424" s="140"/>
      <c r="B424" s="141"/>
      <c r="C424" s="142" t="s">
        <v>1714</v>
      </c>
      <c r="D424" s="143">
        <v>1397817</v>
      </c>
      <c r="E424" s="143">
        <v>1397818.12</v>
      </c>
      <c r="F424" s="144">
        <f t="shared" si="24"/>
        <v>100.00008012493768</v>
      </c>
      <c r="G424" s="138"/>
    </row>
    <row r="425" spans="1:7" s="145" customFormat="1" ht="18.75" customHeight="1">
      <c r="A425" s="140"/>
      <c r="B425" s="141"/>
      <c r="C425" s="142" t="s">
        <v>1583</v>
      </c>
      <c r="D425" s="143">
        <v>454581</v>
      </c>
      <c r="E425" s="143">
        <v>454579.97</v>
      </c>
      <c r="F425" s="144">
        <f t="shared" si="24"/>
        <v>99.99977341771873</v>
      </c>
      <c r="G425" s="138"/>
    </row>
    <row r="426" spans="1:7" s="139" customFormat="1" ht="18.75" customHeight="1">
      <c r="A426" s="171"/>
      <c r="B426" s="134"/>
      <c r="C426" s="194" t="s">
        <v>1588</v>
      </c>
      <c r="D426" s="136">
        <v>2466</v>
      </c>
      <c r="E426" s="136">
        <v>2465.91</v>
      </c>
      <c r="F426" s="137">
        <f>E426/D426*100</f>
        <v>99.99635036496349</v>
      </c>
      <c r="G426" s="138"/>
    </row>
    <row r="427" spans="1:7" s="139" customFormat="1" ht="18.75" customHeight="1">
      <c r="A427" s="171"/>
      <c r="B427" s="134"/>
      <c r="C427" s="194" t="s">
        <v>1584</v>
      </c>
      <c r="D427" s="136">
        <v>48000</v>
      </c>
      <c r="E427" s="136">
        <v>45800</v>
      </c>
      <c r="F427" s="137">
        <f>E427/D427*100</f>
        <v>95.41666666666667</v>
      </c>
      <c r="G427" s="138"/>
    </row>
    <row r="428" spans="1:7" s="132" customFormat="1" ht="18.75" customHeight="1">
      <c r="A428" s="126"/>
      <c r="B428" s="127"/>
      <c r="C428" s="128" t="s">
        <v>1585</v>
      </c>
      <c r="D428" s="129">
        <f>SUM(D429)</f>
        <v>300000</v>
      </c>
      <c r="E428" s="129">
        <f>SUM(E429)</f>
        <v>221620</v>
      </c>
      <c r="F428" s="130">
        <f t="shared" si="24"/>
        <v>73.87333333333333</v>
      </c>
      <c r="G428" s="131"/>
    </row>
    <row r="429" spans="1:7" s="139" customFormat="1" ht="26.25" customHeight="1">
      <c r="A429" s="133"/>
      <c r="B429" s="134"/>
      <c r="C429" s="135" t="s">
        <v>293</v>
      </c>
      <c r="D429" s="136">
        <v>300000</v>
      </c>
      <c r="E429" s="136">
        <v>221620</v>
      </c>
      <c r="F429" s="137">
        <f t="shared" si="24"/>
        <v>73.87333333333333</v>
      </c>
      <c r="G429" s="138"/>
    </row>
    <row r="430" spans="1:7" s="139" customFormat="1" ht="18.75" customHeight="1">
      <c r="A430" s="169"/>
      <c r="B430" s="120" t="s">
        <v>1099</v>
      </c>
      <c r="C430" s="121" t="s">
        <v>215</v>
      </c>
      <c r="D430" s="122">
        <f>SUM(D431,D437)</f>
        <v>1110800</v>
      </c>
      <c r="E430" s="122">
        <f>SUM(E431,E437)</f>
        <v>1023407.4600000001</v>
      </c>
      <c r="F430" s="123">
        <f t="shared" si="24"/>
        <v>92.13246849117753</v>
      </c>
      <c r="G430" s="138"/>
    </row>
    <row r="431" spans="1:7" s="132" customFormat="1" ht="18.75" customHeight="1">
      <c r="A431" s="126"/>
      <c r="B431" s="127"/>
      <c r="C431" s="128" t="s">
        <v>1235</v>
      </c>
      <c r="D431" s="129">
        <f>SUM(D432,D435,D436)</f>
        <v>1110800</v>
      </c>
      <c r="E431" s="129">
        <f>SUM(E432,E435,E436)</f>
        <v>1023407.4600000001</v>
      </c>
      <c r="F431" s="130">
        <f t="shared" si="24"/>
        <v>92.13246849117753</v>
      </c>
      <c r="G431" s="131"/>
    </row>
    <row r="432" spans="1:7" s="139" customFormat="1" ht="18" customHeight="1">
      <c r="A432" s="133"/>
      <c r="B432" s="134"/>
      <c r="C432" s="135" t="s">
        <v>1582</v>
      </c>
      <c r="D432" s="136">
        <f>SUM(D434,D433)</f>
        <v>30700</v>
      </c>
      <c r="E432" s="136">
        <f>SUM(E434,E433)</f>
        <v>23866.68</v>
      </c>
      <c r="F432" s="137">
        <f t="shared" si="24"/>
        <v>77.74162866449511</v>
      </c>
      <c r="G432" s="138"/>
    </row>
    <row r="433" spans="1:7" s="145" customFormat="1" ht="18.75" customHeight="1" hidden="1">
      <c r="A433" s="140"/>
      <c r="B433" s="141"/>
      <c r="C433" s="142" t="s">
        <v>1714</v>
      </c>
      <c r="D433" s="143"/>
      <c r="E433" s="143"/>
      <c r="F433" s="144" t="e">
        <f t="shared" si="24"/>
        <v>#DIV/0!</v>
      </c>
      <c r="G433" s="138"/>
    </row>
    <row r="434" spans="1:7" s="145" customFormat="1" ht="18.75" customHeight="1">
      <c r="A434" s="140"/>
      <c r="B434" s="141"/>
      <c r="C434" s="142" t="s">
        <v>1583</v>
      </c>
      <c r="D434" s="143">
        <v>30700</v>
      </c>
      <c r="E434" s="143">
        <v>23866.68</v>
      </c>
      <c r="F434" s="144">
        <f t="shared" si="24"/>
        <v>77.74162866449511</v>
      </c>
      <c r="G434" s="138"/>
    </row>
    <row r="435" spans="1:7" s="139" customFormat="1" ht="18.75" customHeight="1">
      <c r="A435" s="171"/>
      <c r="B435" s="134"/>
      <c r="C435" s="194" t="s">
        <v>1584</v>
      </c>
      <c r="D435" s="136">
        <v>748900</v>
      </c>
      <c r="E435" s="136">
        <v>748810.54</v>
      </c>
      <c r="F435" s="137">
        <f t="shared" si="24"/>
        <v>99.98805447990387</v>
      </c>
      <c r="G435" s="138"/>
    </row>
    <row r="436" spans="1:7" s="29" customFormat="1" ht="18.75" customHeight="1">
      <c r="A436" s="37"/>
      <c r="B436" s="26"/>
      <c r="C436" s="38" t="s">
        <v>1596</v>
      </c>
      <c r="D436" s="14">
        <v>331200</v>
      </c>
      <c r="E436" s="14">
        <v>250730.24</v>
      </c>
      <c r="F436" s="27">
        <f>E436/D436*100</f>
        <v>75.70357487922705</v>
      </c>
      <c r="G436" s="28"/>
    </row>
    <row r="437" spans="1:7" s="132" customFormat="1" ht="18.75" customHeight="1" hidden="1">
      <c r="A437" s="126"/>
      <c r="B437" s="127"/>
      <c r="C437" s="128" t="s">
        <v>1585</v>
      </c>
      <c r="D437" s="129">
        <f>SUM(D438,D439)</f>
        <v>0</v>
      </c>
      <c r="E437" s="129">
        <f>SUM(E438,E439)</f>
        <v>0</v>
      </c>
      <c r="F437" s="130" t="e">
        <f>E437/D437*100</f>
        <v>#DIV/0!</v>
      </c>
      <c r="G437" s="131"/>
    </row>
    <row r="438" spans="1:7" s="139" customFormat="1" ht="26.25" customHeight="1" hidden="1">
      <c r="A438" s="133"/>
      <c r="B438" s="134"/>
      <c r="C438" s="135" t="s">
        <v>293</v>
      </c>
      <c r="D438" s="136">
        <v>0</v>
      </c>
      <c r="E438" s="136">
        <v>0</v>
      </c>
      <c r="F438" s="137" t="e">
        <f>E438/D438*100</f>
        <v>#DIV/0!</v>
      </c>
      <c r="G438" s="138"/>
    </row>
    <row r="439" spans="1:7" s="29" customFormat="1" ht="18.75" customHeight="1" hidden="1">
      <c r="A439" s="37"/>
      <c r="B439" s="26"/>
      <c r="C439" s="38" t="s">
        <v>1596</v>
      </c>
      <c r="D439" s="14"/>
      <c r="E439" s="14"/>
      <c r="F439" s="27" t="e">
        <f>E439/D439*100</f>
        <v>#DIV/0!</v>
      </c>
      <c r="G439" s="28"/>
    </row>
    <row r="440" spans="1:7" s="139" customFormat="1" ht="24" customHeight="1">
      <c r="A440" s="170" t="s">
        <v>35</v>
      </c>
      <c r="B440" s="113"/>
      <c r="C440" s="114" t="s">
        <v>38</v>
      </c>
      <c r="D440" s="115">
        <f>SUM(D441,D449,D457,D463,D467)</f>
        <v>1132620</v>
      </c>
      <c r="E440" s="115">
        <f>SUM(E441,E449,E457,E463,E467)</f>
        <v>1036712.9099999999</v>
      </c>
      <c r="F440" s="116">
        <f t="shared" si="24"/>
        <v>91.53228002330877</v>
      </c>
      <c r="G440" s="138"/>
    </row>
    <row r="441" spans="1:7" s="139" customFormat="1" ht="18.75" customHeight="1">
      <c r="A441" s="169"/>
      <c r="B441" s="120" t="s">
        <v>1100</v>
      </c>
      <c r="C441" s="121" t="s">
        <v>1101</v>
      </c>
      <c r="D441" s="122">
        <f>SUM(D442,D447)</f>
        <v>822470</v>
      </c>
      <c r="E441" s="122">
        <f>SUM(E442,E447)</f>
        <v>822470.0099999999</v>
      </c>
      <c r="F441" s="123">
        <f t="shared" si="24"/>
        <v>100.00000121584979</v>
      </c>
      <c r="G441" s="138"/>
    </row>
    <row r="442" spans="1:7" s="132" customFormat="1" ht="18.75" customHeight="1">
      <c r="A442" s="126"/>
      <c r="B442" s="127"/>
      <c r="C442" s="128" t="s">
        <v>1235</v>
      </c>
      <c r="D442" s="129">
        <f>SUM(D443,D446)</f>
        <v>813627</v>
      </c>
      <c r="E442" s="129">
        <f>SUM(E443,E446)</f>
        <v>813627.1499999999</v>
      </c>
      <c r="F442" s="130">
        <f t="shared" si="24"/>
        <v>100.00001843596635</v>
      </c>
      <c r="G442" s="131"/>
    </row>
    <row r="443" spans="1:7" s="139" customFormat="1" ht="18" customHeight="1">
      <c r="A443" s="133"/>
      <c r="B443" s="134"/>
      <c r="C443" s="135" t="s">
        <v>1582</v>
      </c>
      <c r="D443" s="136">
        <f>SUM(D445,D444)</f>
        <v>811296</v>
      </c>
      <c r="E443" s="136">
        <f>SUM(E445,E444)</f>
        <v>811296.1499999999</v>
      </c>
      <c r="F443" s="137">
        <f t="shared" si="24"/>
        <v>100.0000184889362</v>
      </c>
      <c r="G443" s="138"/>
    </row>
    <row r="444" spans="1:7" s="145" customFormat="1" ht="18.75" customHeight="1">
      <c r="A444" s="140"/>
      <c r="B444" s="141"/>
      <c r="C444" s="142" t="s">
        <v>1714</v>
      </c>
      <c r="D444" s="143">
        <v>640941</v>
      </c>
      <c r="E444" s="143">
        <v>640939.32</v>
      </c>
      <c r="F444" s="144">
        <f t="shared" si="24"/>
        <v>99.99973788539039</v>
      </c>
      <c r="G444" s="138"/>
    </row>
    <row r="445" spans="1:7" s="145" customFormat="1" ht="18.75" customHeight="1">
      <c r="A445" s="140"/>
      <c r="B445" s="141"/>
      <c r="C445" s="142" t="s">
        <v>1583</v>
      </c>
      <c r="D445" s="143">
        <v>170355</v>
      </c>
      <c r="E445" s="143">
        <v>170356.83</v>
      </c>
      <c r="F445" s="144">
        <f t="shared" si="24"/>
        <v>100.00107422734877</v>
      </c>
      <c r="G445" s="138"/>
    </row>
    <row r="446" spans="1:7" s="139" customFormat="1" ht="18.75" customHeight="1">
      <c r="A446" s="171"/>
      <c r="B446" s="134"/>
      <c r="C446" s="194" t="s">
        <v>1588</v>
      </c>
      <c r="D446" s="136">
        <v>2331</v>
      </c>
      <c r="E446" s="136">
        <v>2331</v>
      </c>
      <c r="F446" s="137">
        <f>E446/D446*100</f>
        <v>100</v>
      </c>
      <c r="G446" s="138"/>
    </row>
    <row r="447" spans="1:7" s="139" customFormat="1" ht="18.75" customHeight="1">
      <c r="A447" s="171"/>
      <c r="B447" s="134"/>
      <c r="C447" s="128" t="s">
        <v>1585</v>
      </c>
      <c r="D447" s="129">
        <f>SUM(D448)</f>
        <v>8843</v>
      </c>
      <c r="E447" s="129">
        <f>SUM(E448)</f>
        <v>8842.86</v>
      </c>
      <c r="F447" s="130">
        <f>E447/D447*100</f>
        <v>99.99841682686872</v>
      </c>
      <c r="G447" s="138"/>
    </row>
    <row r="448" spans="1:7" s="139" customFormat="1" ht="24.75" customHeight="1">
      <c r="A448" s="171"/>
      <c r="B448" s="134"/>
      <c r="C448" s="135" t="s">
        <v>293</v>
      </c>
      <c r="D448" s="136">
        <v>8843</v>
      </c>
      <c r="E448" s="136">
        <v>8842.86</v>
      </c>
      <c r="F448" s="137">
        <f>E448/D448*100</f>
        <v>99.99841682686872</v>
      </c>
      <c r="G448" s="138"/>
    </row>
    <row r="449" spans="1:8" s="178" customFormat="1" ht="18.75" customHeight="1" hidden="1">
      <c r="A449" s="169"/>
      <c r="B449" s="120" t="s">
        <v>85</v>
      </c>
      <c r="C449" s="152" t="s">
        <v>466</v>
      </c>
      <c r="D449" s="122">
        <f>SUM(D450,D455)</f>
        <v>0</v>
      </c>
      <c r="E449" s="122">
        <f>SUM(E450,E455)</f>
        <v>0</v>
      </c>
      <c r="F449" s="123" t="e">
        <f t="shared" si="24"/>
        <v>#DIV/0!</v>
      </c>
      <c r="G449" s="138"/>
      <c r="H449" s="139"/>
    </row>
    <row r="450" spans="1:7" s="132" customFormat="1" ht="18.75" customHeight="1" hidden="1">
      <c r="A450" s="126"/>
      <c r="B450" s="127"/>
      <c r="C450" s="128" t="s">
        <v>1235</v>
      </c>
      <c r="D450" s="129">
        <f>SUM(D451,D454)</f>
        <v>0</v>
      </c>
      <c r="E450" s="129">
        <f>SUM(E451,E454)</f>
        <v>0</v>
      </c>
      <c r="F450" s="130" t="e">
        <f t="shared" si="24"/>
        <v>#DIV/0!</v>
      </c>
      <c r="G450" s="131"/>
    </row>
    <row r="451" spans="1:7" s="139" customFormat="1" ht="18" customHeight="1" hidden="1">
      <c r="A451" s="133"/>
      <c r="B451" s="134"/>
      <c r="C451" s="135" t="s">
        <v>1582</v>
      </c>
      <c r="D451" s="136">
        <f>SUM(D453,D452)</f>
        <v>0</v>
      </c>
      <c r="E451" s="136">
        <f>SUM(E453,E452)</f>
        <v>0</v>
      </c>
      <c r="F451" s="137" t="e">
        <f t="shared" si="24"/>
        <v>#DIV/0!</v>
      </c>
      <c r="G451" s="138"/>
    </row>
    <row r="452" spans="1:7" s="145" customFormat="1" ht="18.75" customHeight="1" hidden="1">
      <c r="A452" s="140"/>
      <c r="B452" s="141"/>
      <c r="C452" s="142" t="s">
        <v>1714</v>
      </c>
      <c r="D452" s="143">
        <v>0</v>
      </c>
      <c r="E452" s="143">
        <v>0</v>
      </c>
      <c r="F452" s="144" t="e">
        <f t="shared" si="24"/>
        <v>#DIV/0!</v>
      </c>
      <c r="G452" s="138"/>
    </row>
    <row r="453" spans="1:7" s="145" customFormat="1" ht="18.75" customHeight="1" hidden="1">
      <c r="A453" s="140"/>
      <c r="B453" s="141"/>
      <c r="C453" s="142" t="s">
        <v>1583</v>
      </c>
      <c r="D453" s="143">
        <v>0</v>
      </c>
      <c r="E453" s="143">
        <v>0</v>
      </c>
      <c r="F453" s="144" t="e">
        <f t="shared" si="24"/>
        <v>#DIV/0!</v>
      </c>
      <c r="G453" s="138"/>
    </row>
    <row r="454" spans="1:7" s="139" customFormat="1" ht="18.75" customHeight="1" hidden="1">
      <c r="A454" s="171"/>
      <c r="B454" s="134"/>
      <c r="C454" s="194" t="s">
        <v>1588</v>
      </c>
      <c r="D454" s="136">
        <v>0</v>
      </c>
      <c r="E454" s="136">
        <v>0</v>
      </c>
      <c r="F454" s="137" t="e">
        <f t="shared" si="24"/>
        <v>#DIV/0!</v>
      </c>
      <c r="G454" s="138"/>
    </row>
    <row r="455" spans="1:7" s="24" customFormat="1" ht="18.75" customHeight="1" hidden="1">
      <c r="A455" s="18"/>
      <c r="B455" s="19"/>
      <c r="C455" s="20" t="s">
        <v>1585</v>
      </c>
      <c r="D455" s="21">
        <f>SUM(D456)</f>
        <v>0</v>
      </c>
      <c r="E455" s="21">
        <f>SUM(E456)</f>
        <v>0</v>
      </c>
      <c r="F455" s="22" t="e">
        <f t="shared" si="24"/>
        <v>#DIV/0!</v>
      </c>
      <c r="G455" s="23"/>
    </row>
    <row r="456" spans="1:7" s="29" customFormat="1" ht="26.25" customHeight="1" hidden="1">
      <c r="A456" s="25"/>
      <c r="B456" s="26"/>
      <c r="C456" s="13" t="s">
        <v>293</v>
      </c>
      <c r="D456" s="14">
        <v>0</v>
      </c>
      <c r="E456" s="14">
        <v>0</v>
      </c>
      <c r="F456" s="27" t="e">
        <f t="shared" si="24"/>
        <v>#DIV/0!</v>
      </c>
      <c r="G456" s="28"/>
    </row>
    <row r="457" spans="1:8" s="178" customFormat="1" ht="18.75" customHeight="1">
      <c r="A457" s="169"/>
      <c r="B457" s="120" t="s">
        <v>88</v>
      </c>
      <c r="C457" s="152" t="s">
        <v>89</v>
      </c>
      <c r="D457" s="122">
        <f>SUM(D458)</f>
        <v>263541</v>
      </c>
      <c r="E457" s="122">
        <f>SUM(E458)</f>
        <v>167638.25</v>
      </c>
      <c r="F457" s="123">
        <f t="shared" si="24"/>
        <v>63.60993166148721</v>
      </c>
      <c r="G457" s="138"/>
      <c r="H457" s="139"/>
    </row>
    <row r="458" spans="1:7" s="132" customFormat="1" ht="18.75" customHeight="1">
      <c r="A458" s="126"/>
      <c r="B458" s="127"/>
      <c r="C458" s="128" t="s">
        <v>1235</v>
      </c>
      <c r="D458" s="129">
        <f>SUM(D459,D461,D462)</f>
        <v>263541</v>
      </c>
      <c r="E458" s="129">
        <f>SUM(E459,E461,E462)</f>
        <v>167638.25</v>
      </c>
      <c r="F458" s="130">
        <f t="shared" si="24"/>
        <v>63.60993166148721</v>
      </c>
      <c r="G458" s="131"/>
    </row>
    <row r="459" spans="1:7" s="139" customFormat="1" ht="18" customHeight="1">
      <c r="A459" s="133"/>
      <c r="B459" s="134"/>
      <c r="C459" s="135" t="s">
        <v>1582</v>
      </c>
      <c r="D459" s="136">
        <f>SUM(D460)</f>
        <v>7500</v>
      </c>
      <c r="E459" s="136">
        <f>SUM(E460)</f>
        <v>7500</v>
      </c>
      <c r="F459" s="137">
        <f>E459/D459*100</f>
        <v>100</v>
      </c>
      <c r="G459" s="138"/>
    </row>
    <row r="460" spans="1:7" s="145" customFormat="1" ht="18.75" customHeight="1">
      <c r="A460" s="140"/>
      <c r="B460" s="141"/>
      <c r="C460" s="142" t="s">
        <v>1583</v>
      </c>
      <c r="D460" s="143">
        <v>7500</v>
      </c>
      <c r="E460" s="143">
        <v>7500</v>
      </c>
      <c r="F460" s="144">
        <f>E460/D460*100</f>
        <v>100</v>
      </c>
      <c r="G460" s="138"/>
    </row>
    <row r="461" spans="1:7" s="139" customFormat="1" ht="18.75" customHeight="1">
      <c r="A461" s="171"/>
      <c r="B461" s="134"/>
      <c r="C461" s="194" t="s">
        <v>1588</v>
      </c>
      <c r="D461" s="136">
        <v>256041</v>
      </c>
      <c r="E461" s="136">
        <v>160138.25</v>
      </c>
      <c r="F461" s="137">
        <f t="shared" si="24"/>
        <v>62.54398709581669</v>
      </c>
      <c r="G461" s="138"/>
    </row>
    <row r="462" spans="1:7" s="139" customFormat="1" ht="18.75" customHeight="1" hidden="1">
      <c r="A462" s="171"/>
      <c r="B462" s="134"/>
      <c r="C462" s="194" t="s">
        <v>1584</v>
      </c>
      <c r="D462" s="136">
        <v>0</v>
      </c>
      <c r="E462" s="136">
        <v>0</v>
      </c>
      <c r="F462" s="137" t="e">
        <f>E462/D462*100</f>
        <v>#DIV/0!</v>
      </c>
      <c r="G462" s="138"/>
    </row>
    <row r="463" spans="1:8" s="178" customFormat="1" ht="18.75" customHeight="1">
      <c r="A463" s="169"/>
      <c r="B463" s="120" t="s">
        <v>470</v>
      </c>
      <c r="C463" s="152" t="s">
        <v>1768</v>
      </c>
      <c r="D463" s="122">
        <f>D466</f>
        <v>320</v>
      </c>
      <c r="E463" s="122">
        <f>E466</f>
        <v>320</v>
      </c>
      <c r="F463" s="123">
        <f t="shared" si="24"/>
        <v>100</v>
      </c>
      <c r="G463" s="138"/>
      <c r="H463" s="139"/>
    </row>
    <row r="464" spans="1:7" s="132" customFormat="1" ht="18.75" customHeight="1">
      <c r="A464" s="126"/>
      <c r="B464" s="127"/>
      <c r="C464" s="128" t="s">
        <v>1235</v>
      </c>
      <c r="D464" s="129">
        <f>SUM(D465)</f>
        <v>320</v>
      </c>
      <c r="E464" s="129">
        <f>SUM(E465)</f>
        <v>320</v>
      </c>
      <c r="F464" s="130">
        <f t="shared" si="24"/>
        <v>100</v>
      </c>
      <c r="G464" s="131"/>
    </row>
    <row r="465" spans="1:7" s="139" customFormat="1" ht="18" customHeight="1">
      <c r="A465" s="133"/>
      <c r="B465" s="134"/>
      <c r="C465" s="135" t="s">
        <v>1582</v>
      </c>
      <c r="D465" s="136">
        <f>SUM(D466)</f>
        <v>320</v>
      </c>
      <c r="E465" s="136">
        <f>SUM(E466)</f>
        <v>320</v>
      </c>
      <c r="F465" s="137">
        <f t="shared" si="24"/>
        <v>100</v>
      </c>
      <c r="G465" s="138"/>
    </row>
    <row r="466" spans="1:7" s="145" customFormat="1" ht="18.75" customHeight="1">
      <c r="A466" s="140"/>
      <c r="B466" s="141"/>
      <c r="C466" s="142" t="s">
        <v>1583</v>
      </c>
      <c r="D466" s="143">
        <v>320</v>
      </c>
      <c r="E466" s="143">
        <v>320</v>
      </c>
      <c r="F466" s="144">
        <f t="shared" si="24"/>
        <v>100</v>
      </c>
      <c r="G466" s="138"/>
    </row>
    <row r="467" spans="1:8" s="178" customFormat="1" ht="18.75" customHeight="1">
      <c r="A467" s="169"/>
      <c r="B467" s="120" t="s">
        <v>471</v>
      </c>
      <c r="C467" s="152" t="s">
        <v>215</v>
      </c>
      <c r="D467" s="122">
        <f>D468</f>
        <v>46289</v>
      </c>
      <c r="E467" s="122">
        <f>E468</f>
        <v>46284.649999999994</v>
      </c>
      <c r="F467" s="123">
        <f aca="true" t="shared" si="25" ref="F467:F512">E467/D467*100</f>
        <v>99.99060251895698</v>
      </c>
      <c r="G467" s="138"/>
      <c r="H467" s="139"/>
    </row>
    <row r="468" spans="1:7" s="132" customFormat="1" ht="18.75" customHeight="1">
      <c r="A468" s="126"/>
      <c r="B468" s="127"/>
      <c r="C468" s="128" t="s">
        <v>1235</v>
      </c>
      <c r="D468" s="129">
        <f>SUM(D469,D472)</f>
        <v>46289</v>
      </c>
      <c r="E468" s="129">
        <f>SUM(E469,E472)</f>
        <v>46284.649999999994</v>
      </c>
      <c r="F468" s="130">
        <f t="shared" si="25"/>
        <v>99.99060251895698</v>
      </c>
      <c r="G468" s="131"/>
    </row>
    <row r="469" spans="1:7" s="139" customFormat="1" ht="18" customHeight="1">
      <c r="A469" s="133"/>
      <c r="B469" s="134"/>
      <c r="C469" s="135" t="s">
        <v>1582</v>
      </c>
      <c r="D469" s="136">
        <f>SUM(D471,D470)</f>
        <v>45516</v>
      </c>
      <c r="E469" s="136">
        <f>SUM(E471,E470)</f>
        <v>45511.649999999994</v>
      </c>
      <c r="F469" s="137">
        <f t="shared" si="25"/>
        <v>99.99044292117057</v>
      </c>
      <c r="G469" s="138"/>
    </row>
    <row r="470" spans="1:7" s="145" customFormat="1" ht="18.75" customHeight="1">
      <c r="A470" s="140"/>
      <c r="B470" s="141"/>
      <c r="C470" s="142" t="s">
        <v>1714</v>
      </c>
      <c r="D470" s="143">
        <v>39937</v>
      </c>
      <c r="E470" s="143">
        <v>39934.56</v>
      </c>
      <c r="F470" s="144">
        <f t="shared" si="25"/>
        <v>99.99389037734431</v>
      </c>
      <c r="G470" s="138"/>
    </row>
    <row r="471" spans="1:7" s="145" customFormat="1" ht="18.75" customHeight="1">
      <c r="A471" s="140"/>
      <c r="B471" s="141"/>
      <c r="C471" s="142" t="s">
        <v>1583</v>
      </c>
      <c r="D471" s="143">
        <v>5579</v>
      </c>
      <c r="E471" s="143">
        <v>5577.09</v>
      </c>
      <c r="F471" s="144">
        <f t="shared" si="25"/>
        <v>99.96576447392006</v>
      </c>
      <c r="G471" s="138"/>
    </row>
    <row r="472" spans="1:7" s="139" customFormat="1" ht="18.75" customHeight="1">
      <c r="A472" s="171"/>
      <c r="B472" s="134"/>
      <c r="C472" s="194" t="s">
        <v>1588</v>
      </c>
      <c r="D472" s="136">
        <v>773</v>
      </c>
      <c r="E472" s="136">
        <v>773</v>
      </c>
      <c r="F472" s="137">
        <f t="shared" si="25"/>
        <v>100</v>
      </c>
      <c r="G472" s="138"/>
    </row>
    <row r="473" spans="1:7" s="139" customFormat="1" ht="27" customHeight="1">
      <c r="A473" s="170" t="s">
        <v>91</v>
      </c>
      <c r="B473" s="113"/>
      <c r="C473" s="114" t="s">
        <v>1247</v>
      </c>
      <c r="D473" s="115">
        <f>SUM(D474,D481,D485,D493,D498,D504,D507,D511)</f>
        <v>25213489</v>
      </c>
      <c r="E473" s="115">
        <f>SUM(E474,E481,E485,E493,E498,E504,E507,E511)</f>
        <v>22013378.96</v>
      </c>
      <c r="F473" s="116">
        <f t="shared" si="25"/>
        <v>87.30794441023217</v>
      </c>
      <c r="G473" s="138"/>
    </row>
    <row r="474" spans="1:8" s="1003" customFormat="1" ht="18.75" customHeight="1">
      <c r="A474" s="1002"/>
      <c r="B474" s="1706" t="s">
        <v>587</v>
      </c>
      <c r="C474" s="1707" t="s">
        <v>588</v>
      </c>
      <c r="D474" s="1708">
        <f>SUM(D475,D479)</f>
        <v>4089692</v>
      </c>
      <c r="E474" s="1708">
        <f>SUM(E475,E479)</f>
        <v>2897144.3100000005</v>
      </c>
      <c r="F474" s="1709">
        <f aca="true" t="shared" si="26" ref="F474:F480">E474/D474*100</f>
        <v>70.84015886770936</v>
      </c>
      <c r="G474" s="2006"/>
      <c r="H474" s="168"/>
    </row>
    <row r="475" spans="1:7" s="161" customFormat="1" ht="18.75" customHeight="1">
      <c r="A475" s="156"/>
      <c r="B475" s="1710"/>
      <c r="C475" s="1711" t="s">
        <v>1235</v>
      </c>
      <c r="D475" s="1712">
        <f>SUM(D476)</f>
        <v>4075401</v>
      </c>
      <c r="E475" s="1712">
        <f>SUM(E476)</f>
        <v>2882854.1700000004</v>
      </c>
      <c r="F475" s="1713">
        <f t="shared" si="26"/>
        <v>70.73792664819977</v>
      </c>
      <c r="G475" s="2006"/>
    </row>
    <row r="476" spans="1:7" s="168" customFormat="1" ht="18" customHeight="1">
      <c r="A476" s="162"/>
      <c r="B476" s="1714"/>
      <c r="C476" s="1715" t="s">
        <v>1582</v>
      </c>
      <c r="D476" s="1716">
        <f>SUM(D477,D478)</f>
        <v>4075401</v>
      </c>
      <c r="E476" s="1716">
        <f>SUM(E477,E478)</f>
        <v>2882854.1700000004</v>
      </c>
      <c r="F476" s="1717">
        <f t="shared" si="26"/>
        <v>70.73792664819977</v>
      </c>
      <c r="G476" s="2006"/>
    </row>
    <row r="477" spans="1:7" s="175" customFormat="1" ht="18.75" customHeight="1">
      <c r="A477" s="172"/>
      <c r="B477" s="1718"/>
      <c r="C477" s="1682" t="s">
        <v>1583</v>
      </c>
      <c r="D477" s="1683">
        <v>3850231</v>
      </c>
      <c r="E477" s="1683">
        <v>2767659.99</v>
      </c>
      <c r="F477" s="1684">
        <f t="shared" si="26"/>
        <v>71.88295948996307</v>
      </c>
      <c r="G477" s="2006"/>
    </row>
    <row r="478" spans="1:7" s="175" customFormat="1" ht="18.75" customHeight="1">
      <c r="A478" s="1705"/>
      <c r="B478" s="1718"/>
      <c r="C478" s="1682" t="s">
        <v>1714</v>
      </c>
      <c r="D478" s="1683">
        <v>225170</v>
      </c>
      <c r="E478" s="1683">
        <v>115194.18</v>
      </c>
      <c r="F478" s="1684">
        <f t="shared" si="26"/>
        <v>51.15876004796376</v>
      </c>
      <c r="G478" s="1688"/>
    </row>
    <row r="479" spans="1:7" s="175" customFormat="1" ht="18.75" customHeight="1">
      <c r="A479" s="1705"/>
      <c r="B479" s="173"/>
      <c r="C479" s="128" t="s">
        <v>1585</v>
      </c>
      <c r="D479" s="129">
        <f>SUM(D480)</f>
        <v>14291</v>
      </c>
      <c r="E479" s="129">
        <f>SUM(E480)</f>
        <v>14290.14</v>
      </c>
      <c r="F479" s="130">
        <f t="shared" si="26"/>
        <v>99.99398222657616</v>
      </c>
      <c r="G479" s="1688"/>
    </row>
    <row r="480" spans="1:7" s="175" customFormat="1" ht="27.75" customHeight="1">
      <c r="A480" s="1705"/>
      <c r="B480" s="173"/>
      <c r="C480" s="135" t="s">
        <v>293</v>
      </c>
      <c r="D480" s="136">
        <v>14291</v>
      </c>
      <c r="E480" s="136">
        <v>14290.14</v>
      </c>
      <c r="F480" s="137">
        <f t="shared" si="26"/>
        <v>99.99398222657616</v>
      </c>
      <c r="G480" s="1688"/>
    </row>
    <row r="481" spans="1:8" s="178" customFormat="1" ht="18.75" customHeight="1">
      <c r="A481" s="169"/>
      <c r="B481" s="120" t="s">
        <v>92</v>
      </c>
      <c r="C481" s="152" t="s">
        <v>393</v>
      </c>
      <c r="D481" s="122">
        <f aca="true" t="shared" si="27" ref="D481:E483">SUM(D482)</f>
        <v>4635000</v>
      </c>
      <c r="E481" s="122">
        <f t="shared" si="27"/>
        <v>4560476.13</v>
      </c>
      <c r="F481" s="123">
        <f t="shared" si="25"/>
        <v>98.39214951456312</v>
      </c>
      <c r="G481" s="138"/>
      <c r="H481" s="139"/>
    </row>
    <row r="482" spans="1:7" s="132" customFormat="1" ht="18.75" customHeight="1">
      <c r="A482" s="126"/>
      <c r="B482" s="127"/>
      <c r="C482" s="128" t="s">
        <v>1235</v>
      </c>
      <c r="D482" s="129">
        <f t="shared" si="27"/>
        <v>4635000</v>
      </c>
      <c r="E482" s="129">
        <f t="shared" si="27"/>
        <v>4560476.13</v>
      </c>
      <c r="F482" s="130">
        <f t="shared" si="25"/>
        <v>98.39214951456312</v>
      </c>
      <c r="G482" s="131"/>
    </row>
    <row r="483" spans="1:7" s="139" customFormat="1" ht="18" customHeight="1">
      <c r="A483" s="133"/>
      <c r="B483" s="134"/>
      <c r="C483" s="135" t="s">
        <v>1582</v>
      </c>
      <c r="D483" s="136">
        <f t="shared" si="27"/>
        <v>4635000</v>
      </c>
      <c r="E483" s="136">
        <f t="shared" si="27"/>
        <v>4560476.13</v>
      </c>
      <c r="F483" s="137">
        <f t="shared" si="25"/>
        <v>98.39214951456312</v>
      </c>
      <c r="G483" s="138"/>
    </row>
    <row r="484" spans="1:7" s="145" customFormat="1" ht="18.75" customHeight="1">
      <c r="A484" s="140"/>
      <c r="B484" s="141"/>
      <c r="C484" s="142" t="s">
        <v>1583</v>
      </c>
      <c r="D484" s="143">
        <v>4635000</v>
      </c>
      <c r="E484" s="143">
        <v>4560476.13</v>
      </c>
      <c r="F484" s="144">
        <f t="shared" si="25"/>
        <v>98.39214951456312</v>
      </c>
      <c r="G484" s="138"/>
    </row>
    <row r="485" spans="1:7" s="125" customFormat="1" ht="18.75" customHeight="1">
      <c r="A485" s="169"/>
      <c r="B485" s="120" t="s">
        <v>1248</v>
      </c>
      <c r="C485" s="152" t="s">
        <v>1249</v>
      </c>
      <c r="D485" s="122">
        <f>SUM(D486,D490)</f>
        <v>8669670</v>
      </c>
      <c r="E485" s="122">
        <f>SUM(E486,E490)</f>
        <v>8573924.83</v>
      </c>
      <c r="F485" s="123">
        <f t="shared" si="25"/>
        <v>98.89563074488417</v>
      </c>
      <c r="G485" s="117"/>
    </row>
    <row r="486" spans="1:7" s="132" customFormat="1" ht="18.75" customHeight="1">
      <c r="A486" s="126"/>
      <c r="B486" s="127"/>
      <c r="C486" s="128" t="s">
        <v>1235</v>
      </c>
      <c r="D486" s="129">
        <f>SUM(D487)</f>
        <v>2817010</v>
      </c>
      <c r="E486" s="129">
        <f>SUM(E487)</f>
        <v>2749680.98</v>
      </c>
      <c r="F486" s="130">
        <f t="shared" si="25"/>
        <v>97.60991192789518</v>
      </c>
      <c r="G486" s="131"/>
    </row>
    <row r="487" spans="1:7" s="139" customFormat="1" ht="18" customHeight="1">
      <c r="A487" s="133"/>
      <c r="B487" s="134"/>
      <c r="C487" s="135" t="s">
        <v>1582</v>
      </c>
      <c r="D487" s="136">
        <f>SUM(D488,D489)</f>
        <v>2817010</v>
      </c>
      <c r="E487" s="136">
        <f>SUM(E488,E489)</f>
        <v>2749680.98</v>
      </c>
      <c r="F487" s="137">
        <f t="shared" si="25"/>
        <v>97.60991192789518</v>
      </c>
      <c r="G487" s="138"/>
    </row>
    <row r="488" spans="1:7" s="145" customFormat="1" ht="18.75" customHeight="1">
      <c r="A488" s="140"/>
      <c r="B488" s="141"/>
      <c r="C488" s="142" t="s">
        <v>1714</v>
      </c>
      <c r="D488" s="143">
        <v>9120</v>
      </c>
      <c r="E488" s="143">
        <v>8789.25</v>
      </c>
      <c r="F488" s="144">
        <f>E488/D488*100</f>
        <v>96.37335526315789</v>
      </c>
      <c r="G488" s="138"/>
    </row>
    <row r="489" spans="1:7" s="145" customFormat="1" ht="18.75" customHeight="1">
      <c r="A489" s="140"/>
      <c r="B489" s="141"/>
      <c r="C489" s="142" t="s">
        <v>1583</v>
      </c>
      <c r="D489" s="143">
        <v>2807890</v>
      </c>
      <c r="E489" s="143">
        <v>2740891.73</v>
      </c>
      <c r="F489" s="144">
        <f t="shared" si="25"/>
        <v>97.61392825217511</v>
      </c>
      <c r="G489" s="138"/>
    </row>
    <row r="490" spans="1:7" s="132" customFormat="1" ht="18.75" customHeight="1">
      <c r="A490" s="126"/>
      <c r="B490" s="127"/>
      <c r="C490" s="128" t="s">
        <v>1585</v>
      </c>
      <c r="D490" s="129">
        <f>SUM(D491,D492)</f>
        <v>5852660</v>
      </c>
      <c r="E490" s="129">
        <f>SUM(E491,E492)</f>
        <v>5824243.85</v>
      </c>
      <c r="F490" s="130">
        <f t="shared" si="25"/>
        <v>99.5144746149614</v>
      </c>
      <c r="G490" s="131"/>
    </row>
    <row r="491" spans="1:7" s="139" customFormat="1" ht="26.25" customHeight="1">
      <c r="A491" s="133"/>
      <c r="B491" s="134"/>
      <c r="C491" s="135" t="s">
        <v>293</v>
      </c>
      <c r="D491" s="136">
        <v>232660</v>
      </c>
      <c r="E491" s="136">
        <v>226935.09</v>
      </c>
      <c r="F491" s="137">
        <f t="shared" si="25"/>
        <v>97.53936645749161</v>
      </c>
      <c r="G491" s="138"/>
    </row>
    <row r="492" spans="1:7" s="29" customFormat="1" ht="21.75" customHeight="1">
      <c r="A492" s="37"/>
      <c r="B492" s="26"/>
      <c r="C492" s="13" t="s">
        <v>1596</v>
      </c>
      <c r="D492" s="14">
        <v>5620000</v>
      </c>
      <c r="E492" s="14">
        <v>5597308.76</v>
      </c>
      <c r="F492" s="27">
        <f t="shared" si="25"/>
        <v>99.59624128113879</v>
      </c>
      <c r="G492" s="28"/>
    </row>
    <row r="493" spans="1:7" s="125" customFormat="1" ht="18.75" customHeight="1">
      <c r="A493" s="169"/>
      <c r="B493" s="120" t="s">
        <v>1252</v>
      </c>
      <c r="C493" s="152" t="s">
        <v>1257</v>
      </c>
      <c r="D493" s="122">
        <f>SUM(D494)</f>
        <v>340000</v>
      </c>
      <c r="E493" s="122">
        <f>SUM(E494)</f>
        <v>283334</v>
      </c>
      <c r="F493" s="123">
        <f t="shared" si="25"/>
        <v>83.3335294117647</v>
      </c>
      <c r="G493" s="117"/>
    </row>
    <row r="494" spans="1:7" s="132" customFormat="1" ht="18.75" customHeight="1">
      <c r="A494" s="126"/>
      <c r="B494" s="127"/>
      <c r="C494" s="128" t="s">
        <v>1235</v>
      </c>
      <c r="D494" s="129">
        <f>SUM(D495,D497)</f>
        <v>340000</v>
      </c>
      <c r="E494" s="129">
        <f>SUM(E495,E497)</f>
        <v>283334</v>
      </c>
      <c r="F494" s="130">
        <f t="shared" si="25"/>
        <v>83.3335294117647</v>
      </c>
      <c r="G494" s="131"/>
    </row>
    <row r="495" spans="1:7" s="139" customFormat="1" ht="18" customHeight="1" hidden="1">
      <c r="A495" s="133"/>
      <c r="B495" s="134"/>
      <c r="C495" s="135" t="s">
        <v>1582</v>
      </c>
      <c r="D495" s="136">
        <f>SUM(D496)</f>
        <v>0</v>
      </c>
      <c r="E495" s="136">
        <v>0</v>
      </c>
      <c r="F495" s="137" t="e">
        <f>E495/D495*100</f>
        <v>#DIV/0!</v>
      </c>
      <c r="G495" s="138"/>
    </row>
    <row r="496" spans="1:7" s="145" customFormat="1" ht="18.75" customHeight="1" hidden="1">
      <c r="A496" s="140"/>
      <c r="B496" s="141"/>
      <c r="C496" s="142" t="s">
        <v>1583</v>
      </c>
      <c r="D496" s="143"/>
      <c r="E496" s="143">
        <v>0</v>
      </c>
      <c r="F496" s="144" t="e">
        <f>E496/D496*100</f>
        <v>#DIV/0!</v>
      </c>
      <c r="G496" s="138"/>
    </row>
    <row r="497" spans="1:7" s="139" customFormat="1" ht="18" customHeight="1">
      <c r="A497" s="133"/>
      <c r="B497" s="134"/>
      <c r="C497" s="135" t="s">
        <v>1584</v>
      </c>
      <c r="D497" s="136">
        <v>340000</v>
      </c>
      <c r="E497" s="136">
        <v>283334</v>
      </c>
      <c r="F497" s="137">
        <f t="shared" si="25"/>
        <v>83.3335294117647</v>
      </c>
      <c r="G497" s="138"/>
    </row>
    <row r="498" spans="1:8" s="178" customFormat="1" ht="18.75" customHeight="1">
      <c r="A498" s="169"/>
      <c r="B498" s="120" t="s">
        <v>93</v>
      </c>
      <c r="C498" s="152" t="s">
        <v>94</v>
      </c>
      <c r="D498" s="122">
        <f>SUM(D499,D503)</f>
        <v>1289500</v>
      </c>
      <c r="E498" s="122">
        <f>SUM(E499,E503)</f>
        <v>1260430.1600000001</v>
      </c>
      <c r="F498" s="123">
        <f t="shared" si="25"/>
        <v>97.74565025203569</v>
      </c>
      <c r="G498" s="138"/>
      <c r="H498" s="139"/>
    </row>
    <row r="499" spans="1:7" s="132" customFormat="1" ht="18.75" customHeight="1">
      <c r="A499" s="126"/>
      <c r="B499" s="127"/>
      <c r="C499" s="128" t="s">
        <v>1235</v>
      </c>
      <c r="D499" s="129">
        <f>SUM(D500)</f>
        <v>1208000</v>
      </c>
      <c r="E499" s="129">
        <f>SUM(E500)</f>
        <v>1178929.62</v>
      </c>
      <c r="F499" s="130">
        <f t="shared" si="25"/>
        <v>97.59351158940397</v>
      </c>
      <c r="G499" s="131"/>
    </row>
    <row r="500" spans="1:7" s="139" customFormat="1" ht="18" customHeight="1">
      <c r="A500" s="133"/>
      <c r="B500" s="134"/>
      <c r="C500" s="135" t="s">
        <v>1582</v>
      </c>
      <c r="D500" s="136">
        <f>SUM(D501)</f>
        <v>1208000</v>
      </c>
      <c r="E500" s="136">
        <f>SUM(E501)</f>
        <v>1178929.62</v>
      </c>
      <c r="F500" s="137">
        <f t="shared" si="25"/>
        <v>97.59351158940397</v>
      </c>
      <c r="G500" s="138"/>
    </row>
    <row r="501" spans="1:7" s="145" customFormat="1" ht="18.75" customHeight="1">
      <c r="A501" s="140"/>
      <c r="B501" s="141"/>
      <c r="C501" s="142" t="s">
        <v>1583</v>
      </c>
      <c r="D501" s="143">
        <v>1208000</v>
      </c>
      <c r="E501" s="143">
        <v>1178929.62</v>
      </c>
      <c r="F501" s="144">
        <f t="shared" si="25"/>
        <v>97.59351158940397</v>
      </c>
      <c r="G501" s="138"/>
    </row>
    <row r="502" spans="1:7" s="132" customFormat="1" ht="18.75" customHeight="1">
      <c r="A502" s="126"/>
      <c r="B502" s="127"/>
      <c r="C502" s="128" t="s">
        <v>1585</v>
      </c>
      <c r="D502" s="129">
        <f>SUM(D503)</f>
        <v>81500</v>
      </c>
      <c r="E502" s="129">
        <f>SUM(E503)</f>
        <v>81500.54</v>
      </c>
      <c r="F502" s="130">
        <f t="shared" si="25"/>
        <v>100.00066257668712</v>
      </c>
      <c r="G502" s="131"/>
    </row>
    <row r="503" spans="1:7" s="139" customFormat="1" ht="27.75" customHeight="1">
      <c r="A503" s="133"/>
      <c r="B503" s="134"/>
      <c r="C503" s="135" t="s">
        <v>293</v>
      </c>
      <c r="D503" s="136">
        <v>81500</v>
      </c>
      <c r="E503" s="136">
        <v>81500.54</v>
      </c>
      <c r="F503" s="137">
        <f t="shared" si="25"/>
        <v>100.00066257668712</v>
      </c>
      <c r="G503" s="138"/>
    </row>
    <row r="504" spans="1:7" s="139" customFormat="1" ht="27.75" customHeight="1">
      <c r="A504" s="169"/>
      <c r="B504" s="120" t="s">
        <v>1732</v>
      </c>
      <c r="C504" s="121" t="s">
        <v>1396</v>
      </c>
      <c r="D504" s="122">
        <f>SUM(D505)</f>
        <v>2785293</v>
      </c>
      <c r="E504" s="122">
        <f>SUM(E505)</f>
        <v>1879251</v>
      </c>
      <c r="F504" s="123">
        <f>E504/D504*100</f>
        <v>67.47049592269107</v>
      </c>
      <c r="G504" s="138"/>
    </row>
    <row r="505" spans="1:7" s="132" customFormat="1" ht="18.75" customHeight="1">
      <c r="A505" s="126"/>
      <c r="B505" s="127"/>
      <c r="C505" s="128" t="s">
        <v>1235</v>
      </c>
      <c r="D505" s="129">
        <f>SUM(D506)</f>
        <v>2785293</v>
      </c>
      <c r="E505" s="129">
        <f>SUM(E506)</f>
        <v>1879251</v>
      </c>
      <c r="F505" s="130">
        <f>E505/D505*100</f>
        <v>67.47049592269107</v>
      </c>
      <c r="G505" s="131"/>
    </row>
    <row r="506" spans="1:7" s="139" customFormat="1" ht="18" customHeight="1">
      <c r="A506" s="133"/>
      <c r="B506" s="134"/>
      <c r="C506" s="135" t="s">
        <v>1584</v>
      </c>
      <c r="D506" s="136">
        <v>2785293</v>
      </c>
      <c r="E506" s="136">
        <v>1879251</v>
      </c>
      <c r="F506" s="137">
        <f>E506/D506*100</f>
        <v>67.47049592269107</v>
      </c>
      <c r="G506" s="138"/>
    </row>
    <row r="507" spans="1:7" s="139" customFormat="1" ht="27.75" customHeight="1">
      <c r="A507" s="169"/>
      <c r="B507" s="120" t="s">
        <v>1552</v>
      </c>
      <c r="C507" s="121" t="s">
        <v>1553</v>
      </c>
      <c r="D507" s="122">
        <f>SUM(D510)</f>
        <v>16000</v>
      </c>
      <c r="E507" s="122">
        <f>SUM(E510)</f>
        <v>1353</v>
      </c>
      <c r="F507" s="123">
        <f t="shared" si="25"/>
        <v>8.45625</v>
      </c>
      <c r="G507" s="138"/>
    </row>
    <row r="508" spans="1:7" s="132" customFormat="1" ht="18.75" customHeight="1">
      <c r="A508" s="126"/>
      <c r="B508" s="127"/>
      <c r="C508" s="128" t="s">
        <v>1235</v>
      </c>
      <c r="D508" s="129">
        <f>SUM(D509)</f>
        <v>16000</v>
      </c>
      <c r="E508" s="129">
        <f>SUM(E509)</f>
        <v>1353</v>
      </c>
      <c r="F508" s="130">
        <f t="shared" si="25"/>
        <v>8.45625</v>
      </c>
      <c r="G508" s="131"/>
    </row>
    <row r="509" spans="1:7" s="139" customFormat="1" ht="18" customHeight="1">
      <c r="A509" s="133"/>
      <c r="B509" s="134"/>
      <c r="C509" s="135" t="s">
        <v>1582</v>
      </c>
      <c r="D509" s="136">
        <f>SUM(D510)</f>
        <v>16000</v>
      </c>
      <c r="E509" s="136">
        <f>SUM(E510)</f>
        <v>1353</v>
      </c>
      <c r="F509" s="137">
        <f t="shared" si="25"/>
        <v>8.45625</v>
      </c>
      <c r="G509" s="138"/>
    </row>
    <row r="510" spans="1:7" s="145" customFormat="1" ht="18.75" customHeight="1">
      <c r="A510" s="140"/>
      <c r="B510" s="141"/>
      <c r="C510" s="142" t="s">
        <v>1583</v>
      </c>
      <c r="D510" s="143">
        <v>16000</v>
      </c>
      <c r="E510" s="143">
        <v>1353</v>
      </c>
      <c r="F510" s="144">
        <f t="shared" si="25"/>
        <v>8.45625</v>
      </c>
      <c r="G510" s="138"/>
    </row>
    <row r="511" spans="1:7" s="125" customFormat="1" ht="18.75" customHeight="1">
      <c r="A511" s="169"/>
      <c r="B511" s="120" t="s">
        <v>95</v>
      </c>
      <c r="C511" s="152" t="s">
        <v>215</v>
      </c>
      <c r="D511" s="122">
        <f>SUM(D512,D518)</f>
        <v>3388334</v>
      </c>
      <c r="E511" s="122">
        <f>SUM(E512,E518)</f>
        <v>2557465.53</v>
      </c>
      <c r="F511" s="123">
        <f t="shared" si="25"/>
        <v>75.47855465252245</v>
      </c>
      <c r="G511" s="117"/>
    </row>
    <row r="512" spans="1:7" s="132" customFormat="1" ht="18.75" customHeight="1">
      <c r="A512" s="126"/>
      <c r="B512" s="127"/>
      <c r="C512" s="128" t="s">
        <v>1235</v>
      </c>
      <c r="D512" s="129">
        <f>SUM(D513,D516,D517)</f>
        <v>701574</v>
      </c>
      <c r="E512" s="129">
        <f>SUM(E513,E516,E517)</f>
        <v>498283.58</v>
      </c>
      <c r="F512" s="130">
        <f t="shared" si="25"/>
        <v>71.02366678354672</v>
      </c>
      <c r="G512" s="131"/>
    </row>
    <row r="513" spans="1:7" s="139" customFormat="1" ht="18" customHeight="1">
      <c r="A513" s="133"/>
      <c r="B513" s="134"/>
      <c r="C513" s="135" t="s">
        <v>1582</v>
      </c>
      <c r="D513" s="136">
        <f>SUM(D514,D515)</f>
        <v>679574</v>
      </c>
      <c r="E513" s="136">
        <f>SUM(E514,E515)</f>
        <v>476283.58</v>
      </c>
      <c r="F513" s="137">
        <f aca="true" t="shared" si="28" ref="F513:F554">E513/D513*100</f>
        <v>70.08560951419565</v>
      </c>
      <c r="G513" s="138"/>
    </row>
    <row r="514" spans="1:7" s="145" customFormat="1" ht="18.75" customHeight="1">
      <c r="A514" s="140"/>
      <c r="B514" s="141"/>
      <c r="C514" s="142" t="s">
        <v>1714</v>
      </c>
      <c r="D514" s="143">
        <v>65000</v>
      </c>
      <c r="E514" s="143">
        <v>39000</v>
      </c>
      <c r="F514" s="144">
        <f>E514/D514*100</f>
        <v>60</v>
      </c>
      <c r="G514" s="138"/>
    </row>
    <row r="515" spans="1:7" s="145" customFormat="1" ht="18.75" customHeight="1">
      <c r="A515" s="140"/>
      <c r="B515" s="141"/>
      <c r="C515" s="142" t="s">
        <v>1583</v>
      </c>
      <c r="D515" s="143">
        <v>614574</v>
      </c>
      <c r="E515" s="143">
        <v>437283.58</v>
      </c>
      <c r="F515" s="144">
        <f t="shared" si="28"/>
        <v>71.15230712656246</v>
      </c>
      <c r="G515" s="138"/>
    </row>
    <row r="516" spans="1:7" s="175" customFormat="1" ht="18.75" customHeight="1" hidden="1">
      <c r="A516" s="172"/>
      <c r="B516" s="173"/>
      <c r="C516" s="1005" t="s">
        <v>1588</v>
      </c>
      <c r="D516" s="174">
        <v>0</v>
      </c>
      <c r="E516" s="174">
        <v>0</v>
      </c>
      <c r="F516" s="1004" t="s">
        <v>1195</v>
      </c>
      <c r="G516" s="167"/>
    </row>
    <row r="517" spans="1:7" s="139" customFormat="1" ht="18.75" customHeight="1">
      <c r="A517" s="133"/>
      <c r="B517" s="134"/>
      <c r="C517" s="135" t="s">
        <v>1584</v>
      </c>
      <c r="D517" s="136">
        <v>22000</v>
      </c>
      <c r="E517" s="136">
        <v>22000</v>
      </c>
      <c r="F517" s="137">
        <f t="shared" si="28"/>
        <v>100</v>
      </c>
      <c r="G517" s="151"/>
    </row>
    <row r="518" spans="1:7" s="132" customFormat="1" ht="18.75" customHeight="1">
      <c r="A518" s="126"/>
      <c r="B518" s="127"/>
      <c r="C518" s="128" t="s">
        <v>1585</v>
      </c>
      <c r="D518" s="129">
        <f>SUM(D519,D520,D521)</f>
        <v>2686760</v>
      </c>
      <c r="E518" s="129">
        <f>SUM(E519,E520,E521)</f>
        <v>2059181.95</v>
      </c>
      <c r="F518" s="130">
        <f t="shared" si="28"/>
        <v>76.64182695886495</v>
      </c>
      <c r="G518" s="131"/>
    </row>
    <row r="519" spans="1:7" s="139" customFormat="1" ht="24" customHeight="1">
      <c r="A519" s="133"/>
      <c r="B519" s="134"/>
      <c r="C519" s="135" t="s">
        <v>293</v>
      </c>
      <c r="D519" s="136">
        <v>808601</v>
      </c>
      <c r="E519" s="136">
        <v>435964.81</v>
      </c>
      <c r="F519" s="137">
        <f t="shared" si="28"/>
        <v>53.915937526666426</v>
      </c>
      <c r="G519" s="138"/>
    </row>
    <row r="520" spans="1:7" s="29" customFormat="1" ht="21.75" customHeight="1">
      <c r="A520" s="37"/>
      <c r="B520" s="26"/>
      <c r="C520" s="13" t="s">
        <v>1596</v>
      </c>
      <c r="D520" s="14">
        <v>1878000</v>
      </c>
      <c r="E520" s="14">
        <v>1623224</v>
      </c>
      <c r="F520" s="27">
        <f t="shared" si="28"/>
        <v>86.43365282215123</v>
      </c>
      <c r="G520" s="28"/>
    </row>
    <row r="521" spans="1:7" s="29" customFormat="1" ht="43.5" customHeight="1">
      <c r="A521" s="37"/>
      <c r="B521" s="26"/>
      <c r="C521" s="13" t="s">
        <v>221</v>
      </c>
      <c r="D521" s="14">
        <v>159</v>
      </c>
      <c r="E521" s="14">
        <v>-6.86</v>
      </c>
      <c r="F521" s="27">
        <f t="shared" si="28"/>
        <v>-4.314465408805032</v>
      </c>
      <c r="G521" s="28"/>
    </row>
    <row r="522" spans="1:8" s="178" customFormat="1" ht="31.5" customHeight="1">
      <c r="A522" s="170" t="s">
        <v>118</v>
      </c>
      <c r="B522" s="113"/>
      <c r="C522" s="114" t="s">
        <v>1258</v>
      </c>
      <c r="D522" s="115">
        <f>SUM(D523,D531,D536,D541,D548)</f>
        <v>5456067</v>
      </c>
      <c r="E522" s="115">
        <f>SUM(E523,E531,E536,E541,E548)</f>
        <v>5253138.74</v>
      </c>
      <c r="F522" s="116">
        <f t="shared" si="28"/>
        <v>96.28068606928764</v>
      </c>
      <c r="G522" s="138"/>
      <c r="H522" s="139"/>
    </row>
    <row r="523" spans="1:7" s="125" customFormat="1" ht="18.75" customHeight="1">
      <c r="A523" s="169"/>
      <c r="B523" s="120" t="s">
        <v>1259</v>
      </c>
      <c r="C523" s="121" t="s">
        <v>1260</v>
      </c>
      <c r="D523" s="122">
        <f>SUM(D524,D528)</f>
        <v>1935178</v>
      </c>
      <c r="E523" s="122">
        <f>SUM(E524,E528)</f>
        <v>1773678</v>
      </c>
      <c r="F523" s="123">
        <f t="shared" si="28"/>
        <v>91.6545144684365</v>
      </c>
      <c r="G523" s="117"/>
    </row>
    <row r="524" spans="1:7" s="132" customFormat="1" ht="18.75" customHeight="1">
      <c r="A524" s="126"/>
      <c r="B524" s="127"/>
      <c r="C524" s="128" t="s">
        <v>1235</v>
      </c>
      <c r="D524" s="129">
        <f>SUM(D525,D527)</f>
        <v>1773678</v>
      </c>
      <c r="E524" s="129">
        <f>SUM(E525,E527)</f>
        <v>1773678</v>
      </c>
      <c r="F524" s="130">
        <f t="shared" si="28"/>
        <v>100</v>
      </c>
      <c r="G524" s="131"/>
    </row>
    <row r="525" spans="1:7" s="139" customFormat="1" ht="18" customHeight="1" hidden="1">
      <c r="A525" s="133"/>
      <c r="B525" s="134"/>
      <c r="C525" s="135" t="s">
        <v>1582</v>
      </c>
      <c r="D525" s="136">
        <f>SUM(D526)</f>
        <v>0</v>
      </c>
      <c r="E525" s="136">
        <f>SUM(E526)</f>
        <v>0</v>
      </c>
      <c r="F525" s="137" t="e">
        <f>E525/D525*100</f>
        <v>#DIV/0!</v>
      </c>
      <c r="G525" s="138"/>
    </row>
    <row r="526" spans="1:7" s="145" customFormat="1" ht="18.75" customHeight="1" hidden="1">
      <c r="A526" s="140"/>
      <c r="B526" s="141"/>
      <c r="C526" s="142" t="s">
        <v>1583</v>
      </c>
      <c r="D526" s="143">
        <v>0</v>
      </c>
      <c r="E526" s="143">
        <v>0</v>
      </c>
      <c r="F526" s="144" t="e">
        <f>E526/D526*100</f>
        <v>#DIV/0!</v>
      </c>
      <c r="G526" s="138"/>
    </row>
    <row r="527" spans="1:7" s="139" customFormat="1" ht="18.75" customHeight="1">
      <c r="A527" s="133"/>
      <c r="B527" s="134"/>
      <c r="C527" s="135" t="s">
        <v>1584</v>
      </c>
      <c r="D527" s="136">
        <v>1773678</v>
      </c>
      <c r="E527" s="136">
        <v>1773678</v>
      </c>
      <c r="F527" s="137">
        <f t="shared" si="28"/>
        <v>100</v>
      </c>
      <c r="G527" s="151"/>
    </row>
    <row r="528" spans="1:7" s="132" customFormat="1" ht="18.75" customHeight="1">
      <c r="A528" s="126"/>
      <c r="B528" s="127"/>
      <c r="C528" s="128" t="s">
        <v>1585</v>
      </c>
      <c r="D528" s="129">
        <f>SUM(D529,D530)</f>
        <v>161500</v>
      </c>
      <c r="E528" s="129">
        <f>SUM(E529,E530)</f>
        <v>0</v>
      </c>
      <c r="F528" s="195">
        <f t="shared" si="28"/>
        <v>0</v>
      </c>
      <c r="G528" s="131"/>
    </row>
    <row r="529" spans="1:7" s="139" customFormat="1" ht="26.25" customHeight="1" hidden="1">
      <c r="A529" s="171"/>
      <c r="B529" s="134"/>
      <c r="C529" s="135" t="s">
        <v>293</v>
      </c>
      <c r="D529" s="136">
        <v>0</v>
      </c>
      <c r="E529" s="136">
        <v>0</v>
      </c>
      <c r="F529" s="137" t="e">
        <f t="shared" si="28"/>
        <v>#DIV/0!</v>
      </c>
      <c r="G529" s="151"/>
    </row>
    <row r="530" spans="1:7" s="139" customFormat="1" ht="26.25" customHeight="1">
      <c r="A530" s="171"/>
      <c r="B530" s="134"/>
      <c r="C530" s="13" t="s">
        <v>1596</v>
      </c>
      <c r="D530" s="14">
        <v>161500</v>
      </c>
      <c r="E530" s="14">
        <v>0</v>
      </c>
      <c r="F530" s="27">
        <f>E530/D530*100</f>
        <v>0</v>
      </c>
      <c r="G530" s="151"/>
    </row>
    <row r="531" spans="1:7" s="139" customFormat="1" ht="18.75" customHeight="1">
      <c r="A531" s="169"/>
      <c r="B531" s="120" t="s">
        <v>1261</v>
      </c>
      <c r="C531" s="152" t="s">
        <v>1262</v>
      </c>
      <c r="D531" s="122">
        <f>SUM(D532,D534)</f>
        <v>1473605</v>
      </c>
      <c r="E531" s="122">
        <f>SUM(E532,E534)</f>
        <v>1473605</v>
      </c>
      <c r="F531" s="123">
        <f t="shared" si="28"/>
        <v>100</v>
      </c>
      <c r="G531" s="138"/>
    </row>
    <row r="532" spans="1:7" s="132" customFormat="1" ht="18.75" customHeight="1">
      <c r="A532" s="126"/>
      <c r="B532" s="127"/>
      <c r="C532" s="128" t="s">
        <v>1235</v>
      </c>
      <c r="D532" s="129">
        <f>SUM(D533)</f>
        <v>1348605</v>
      </c>
      <c r="E532" s="129">
        <f>SUM(E533)</f>
        <v>1348605</v>
      </c>
      <c r="F532" s="130">
        <f t="shared" si="28"/>
        <v>100</v>
      </c>
      <c r="G532" s="131"/>
    </row>
    <row r="533" spans="1:7" s="139" customFormat="1" ht="18.75" customHeight="1">
      <c r="A533" s="133"/>
      <c r="B533" s="134"/>
      <c r="C533" s="135" t="s">
        <v>1584</v>
      </c>
      <c r="D533" s="136">
        <v>1348605</v>
      </c>
      <c r="E533" s="136">
        <v>1348605</v>
      </c>
      <c r="F533" s="137">
        <f t="shared" si="28"/>
        <v>100</v>
      </c>
      <c r="G533" s="151"/>
    </row>
    <row r="534" spans="1:7" s="132" customFormat="1" ht="18.75" customHeight="1">
      <c r="A534" s="126"/>
      <c r="B534" s="127"/>
      <c r="C534" s="128" t="s">
        <v>1585</v>
      </c>
      <c r="D534" s="129">
        <f>SUM(D535)</f>
        <v>125000</v>
      </c>
      <c r="E534" s="129">
        <f>SUM(E535)</f>
        <v>125000</v>
      </c>
      <c r="F534" s="130">
        <f>E534/D534*100</f>
        <v>100</v>
      </c>
      <c r="G534" s="131"/>
    </row>
    <row r="535" spans="1:7" s="139" customFormat="1" ht="27" customHeight="1">
      <c r="A535" s="133"/>
      <c r="B535" s="134"/>
      <c r="C535" s="135" t="s">
        <v>293</v>
      </c>
      <c r="D535" s="136">
        <v>125000</v>
      </c>
      <c r="E535" s="136">
        <v>125000</v>
      </c>
      <c r="F535" s="137">
        <f>E535/D535*100</f>
        <v>100</v>
      </c>
      <c r="G535" s="138"/>
    </row>
    <row r="536" spans="1:7" s="139" customFormat="1" ht="18.75" customHeight="1">
      <c r="A536" s="169"/>
      <c r="B536" s="120" t="s">
        <v>1263</v>
      </c>
      <c r="C536" s="152" t="s">
        <v>1264</v>
      </c>
      <c r="D536" s="122">
        <f>SUM(D537,D539)</f>
        <v>480794</v>
      </c>
      <c r="E536" s="122">
        <f>SUM(E537,E539)</f>
        <v>440334</v>
      </c>
      <c r="F536" s="123">
        <f t="shared" si="28"/>
        <v>91.58475355349692</v>
      </c>
      <c r="G536" s="138"/>
    </row>
    <row r="537" spans="1:7" s="132" customFormat="1" ht="18.75" customHeight="1">
      <c r="A537" s="126"/>
      <c r="B537" s="127"/>
      <c r="C537" s="128" t="s">
        <v>1235</v>
      </c>
      <c r="D537" s="129">
        <f>SUM(D538)</f>
        <v>411794</v>
      </c>
      <c r="E537" s="129">
        <f>SUM(E538)</f>
        <v>411794</v>
      </c>
      <c r="F537" s="130">
        <f t="shared" si="28"/>
        <v>100</v>
      </c>
      <c r="G537" s="131"/>
    </row>
    <row r="538" spans="1:7" s="139" customFormat="1" ht="18.75" customHeight="1">
      <c r="A538" s="133"/>
      <c r="B538" s="134"/>
      <c r="C538" s="135" t="s">
        <v>1584</v>
      </c>
      <c r="D538" s="136">
        <v>411794</v>
      </c>
      <c r="E538" s="136">
        <v>411794</v>
      </c>
      <c r="F538" s="137">
        <f t="shared" si="28"/>
        <v>100</v>
      </c>
      <c r="G538" s="151"/>
    </row>
    <row r="539" spans="1:7" s="132" customFormat="1" ht="18.75" customHeight="1">
      <c r="A539" s="126"/>
      <c r="B539" s="127"/>
      <c r="C539" s="128" t="s">
        <v>1585</v>
      </c>
      <c r="D539" s="129">
        <f>SUM(D540)</f>
        <v>69000</v>
      </c>
      <c r="E539" s="129">
        <f>SUM(E540)</f>
        <v>28540</v>
      </c>
      <c r="F539" s="130">
        <f>E539/D539*100</f>
        <v>41.36231884057971</v>
      </c>
      <c r="G539" s="131"/>
    </row>
    <row r="540" spans="1:7" s="139" customFormat="1" ht="27" customHeight="1">
      <c r="A540" s="133"/>
      <c r="B540" s="134"/>
      <c r="C540" s="135" t="s">
        <v>293</v>
      </c>
      <c r="D540" s="136">
        <v>69000</v>
      </c>
      <c r="E540" s="136">
        <v>28540</v>
      </c>
      <c r="F540" s="137">
        <f>E540/D540*100</f>
        <v>41.36231884057971</v>
      </c>
      <c r="G540" s="138"/>
    </row>
    <row r="541" spans="1:7" s="125" customFormat="1" ht="18.75" customHeight="1" hidden="1">
      <c r="A541" s="169"/>
      <c r="B541" s="120" t="s">
        <v>783</v>
      </c>
      <c r="C541" s="121" t="s">
        <v>784</v>
      </c>
      <c r="D541" s="122">
        <f>SUM(D542,D545)</f>
        <v>0</v>
      </c>
      <c r="E541" s="122">
        <f>SUM(E542,E545)</f>
        <v>0</v>
      </c>
      <c r="F541" s="137" t="e">
        <f t="shared" si="28"/>
        <v>#DIV/0!</v>
      </c>
      <c r="G541" s="117"/>
    </row>
    <row r="542" spans="1:7" s="132" customFormat="1" ht="18.75" customHeight="1" hidden="1">
      <c r="A542" s="126"/>
      <c r="B542" s="127"/>
      <c r="C542" s="128" t="s">
        <v>1235</v>
      </c>
      <c r="D542" s="129">
        <f>SUM(D543)</f>
        <v>0</v>
      </c>
      <c r="E542" s="129">
        <f>SUM(E543)</f>
        <v>0</v>
      </c>
      <c r="F542" s="130" t="e">
        <f t="shared" si="28"/>
        <v>#DIV/0!</v>
      </c>
      <c r="G542" s="131"/>
    </row>
    <row r="543" spans="1:7" s="139" customFormat="1" ht="18" customHeight="1" hidden="1">
      <c r="A543" s="133"/>
      <c r="B543" s="134"/>
      <c r="C543" s="135" t="s">
        <v>1582</v>
      </c>
      <c r="D543" s="136">
        <f>SUM(D544)</f>
        <v>0</v>
      </c>
      <c r="E543" s="136">
        <f>SUM(E544)</f>
        <v>0</v>
      </c>
      <c r="F543" s="137" t="e">
        <f t="shared" si="28"/>
        <v>#DIV/0!</v>
      </c>
      <c r="G543" s="138"/>
    </row>
    <row r="544" spans="1:7" s="145" customFormat="1" ht="18.75" customHeight="1" hidden="1">
      <c r="A544" s="140"/>
      <c r="B544" s="141"/>
      <c r="C544" s="142" t="s">
        <v>1583</v>
      </c>
      <c r="D544" s="143">
        <v>0</v>
      </c>
      <c r="E544" s="143">
        <v>0</v>
      </c>
      <c r="F544" s="144" t="e">
        <f t="shared" si="28"/>
        <v>#DIV/0!</v>
      </c>
      <c r="G544" s="138"/>
    </row>
    <row r="545" spans="1:7" s="132" customFormat="1" ht="18.75" customHeight="1" hidden="1">
      <c r="A545" s="126"/>
      <c r="B545" s="127"/>
      <c r="C545" s="128" t="s">
        <v>1585</v>
      </c>
      <c r="D545" s="129">
        <f>SUM(D546,D547)</f>
        <v>0</v>
      </c>
      <c r="E545" s="129">
        <f>SUM(E546,E547)</f>
        <v>0</v>
      </c>
      <c r="F545" s="130" t="e">
        <f t="shared" si="28"/>
        <v>#DIV/0!</v>
      </c>
      <c r="G545" s="131"/>
    </row>
    <row r="546" spans="1:7" s="139" customFormat="1" ht="18" customHeight="1" hidden="1">
      <c r="A546" s="133"/>
      <c r="B546" s="134"/>
      <c r="C546" s="135" t="s">
        <v>1596</v>
      </c>
      <c r="D546" s="136">
        <v>0</v>
      </c>
      <c r="E546" s="136">
        <v>0</v>
      </c>
      <c r="F546" s="137" t="e">
        <f t="shared" si="28"/>
        <v>#DIV/0!</v>
      </c>
      <c r="G546" s="138"/>
    </row>
    <row r="547" spans="1:7" s="139" customFormat="1" ht="27" customHeight="1" hidden="1">
      <c r="A547" s="171"/>
      <c r="B547" s="134"/>
      <c r="C547" s="135" t="s">
        <v>293</v>
      </c>
      <c r="D547" s="136">
        <v>0</v>
      </c>
      <c r="E547" s="136">
        <v>0</v>
      </c>
      <c r="F547" s="137" t="e">
        <f t="shared" si="28"/>
        <v>#DIV/0!</v>
      </c>
      <c r="G547" s="138"/>
    </row>
    <row r="548" spans="1:8" s="178" customFormat="1" ht="18.75" customHeight="1">
      <c r="A548" s="169"/>
      <c r="B548" s="120" t="s">
        <v>1265</v>
      </c>
      <c r="C548" s="152" t="s">
        <v>215</v>
      </c>
      <c r="D548" s="122">
        <f>SUM(D549,D555)</f>
        <v>1566490</v>
      </c>
      <c r="E548" s="122">
        <f>SUM(E549,E555)</f>
        <v>1565521.74</v>
      </c>
      <c r="F548" s="123">
        <f t="shared" si="28"/>
        <v>99.93818920005873</v>
      </c>
      <c r="G548" s="138"/>
      <c r="H548" s="139"/>
    </row>
    <row r="549" spans="1:7" s="132" customFormat="1" ht="18.75" customHeight="1">
      <c r="A549" s="126"/>
      <c r="B549" s="127"/>
      <c r="C549" s="128" t="s">
        <v>1235</v>
      </c>
      <c r="D549" s="129">
        <f>SUM(D550,D553,D554)</f>
        <v>1566490</v>
      </c>
      <c r="E549" s="129">
        <f>SUM(E550,E553,E554)</f>
        <v>1565521.74</v>
      </c>
      <c r="F549" s="130">
        <f t="shared" si="28"/>
        <v>99.93818920005873</v>
      </c>
      <c r="G549" s="131"/>
    </row>
    <row r="550" spans="1:7" s="139" customFormat="1" ht="18" customHeight="1">
      <c r="A550" s="133"/>
      <c r="B550" s="134"/>
      <c r="C550" s="135" t="s">
        <v>1582</v>
      </c>
      <c r="D550" s="136">
        <f>SUM(D552,D551)</f>
        <v>1156250</v>
      </c>
      <c r="E550" s="136">
        <f>SUM(E552,E551)</f>
        <v>1156031.99</v>
      </c>
      <c r="F550" s="137">
        <f t="shared" si="28"/>
        <v>99.98114508108108</v>
      </c>
      <c r="G550" s="138"/>
    </row>
    <row r="551" spans="1:7" s="145" customFormat="1" ht="18.75" customHeight="1">
      <c r="A551" s="140"/>
      <c r="B551" s="141"/>
      <c r="C551" s="142" t="s">
        <v>1714</v>
      </c>
      <c r="D551" s="143">
        <v>450</v>
      </c>
      <c r="E551" s="143">
        <v>450</v>
      </c>
      <c r="F551" s="144">
        <f t="shared" si="28"/>
        <v>100</v>
      </c>
      <c r="G551" s="138"/>
    </row>
    <row r="552" spans="1:7" s="145" customFormat="1" ht="18.75" customHeight="1">
      <c r="A552" s="140"/>
      <c r="B552" s="141"/>
      <c r="C552" s="142" t="s">
        <v>1583</v>
      </c>
      <c r="D552" s="143">
        <v>1155800</v>
      </c>
      <c r="E552" s="143">
        <v>1155581.99</v>
      </c>
      <c r="F552" s="144">
        <f t="shared" si="28"/>
        <v>99.98113774009344</v>
      </c>
      <c r="G552" s="138"/>
    </row>
    <row r="553" spans="1:7" s="139" customFormat="1" ht="18.75" customHeight="1">
      <c r="A553" s="171"/>
      <c r="B553" s="134"/>
      <c r="C553" s="135" t="s">
        <v>1584</v>
      </c>
      <c r="D553" s="136">
        <v>410240</v>
      </c>
      <c r="E553" s="136">
        <v>409489.75</v>
      </c>
      <c r="F553" s="137">
        <f t="shared" si="28"/>
        <v>99.81711924726989</v>
      </c>
      <c r="G553" s="151"/>
    </row>
    <row r="554" spans="1:7" s="139" customFormat="1" ht="18.75" customHeight="1" hidden="1">
      <c r="A554" s="171"/>
      <c r="B554" s="134"/>
      <c r="C554" s="194" t="s">
        <v>1588</v>
      </c>
      <c r="D554" s="136">
        <v>0</v>
      </c>
      <c r="E554" s="136">
        <v>0</v>
      </c>
      <c r="F554" s="137" t="e">
        <f t="shared" si="28"/>
        <v>#DIV/0!</v>
      </c>
      <c r="G554" s="138"/>
    </row>
    <row r="555" spans="1:7" s="139" customFormat="1" ht="18.75" customHeight="1" hidden="1">
      <c r="A555" s="171"/>
      <c r="B555" s="134"/>
      <c r="C555" s="128" t="s">
        <v>1585</v>
      </c>
      <c r="D555" s="129">
        <f>SUM(D556)</f>
        <v>0</v>
      </c>
      <c r="E555" s="129">
        <f>SUM(E556)</f>
        <v>0</v>
      </c>
      <c r="F555" s="130" t="e">
        <f>E555/D555*100</f>
        <v>#DIV/0!</v>
      </c>
      <c r="G555" s="138"/>
    </row>
    <row r="556" spans="1:7" s="139" customFormat="1" ht="26.25" customHeight="1" hidden="1">
      <c r="A556" s="171"/>
      <c r="B556" s="134"/>
      <c r="C556" s="135" t="s">
        <v>293</v>
      </c>
      <c r="D556" s="136">
        <v>0</v>
      </c>
      <c r="E556" s="136">
        <v>0</v>
      </c>
      <c r="F556" s="137" t="e">
        <f>E556/D556*100</f>
        <v>#DIV/0!</v>
      </c>
      <c r="G556" s="138"/>
    </row>
    <row r="557" spans="1:8" s="178" customFormat="1" ht="18.75" customHeight="1">
      <c r="A557" s="112" t="s">
        <v>119</v>
      </c>
      <c r="B557" s="113"/>
      <c r="C557" s="154" t="s">
        <v>106</v>
      </c>
      <c r="D557" s="115">
        <f>SUM(D558,D562)</f>
        <v>8828637</v>
      </c>
      <c r="E557" s="115">
        <f>SUM(E558,E562)</f>
        <v>8151531.84</v>
      </c>
      <c r="F557" s="116">
        <f aca="true" t="shared" si="29" ref="F557:F594">E557/D557*100</f>
        <v>92.33058103985925</v>
      </c>
      <c r="G557" s="138"/>
      <c r="H557" s="139"/>
    </row>
    <row r="558" spans="1:8" s="178" customFormat="1" ht="18.75" customHeight="1">
      <c r="A558" s="119"/>
      <c r="B558" s="120" t="s">
        <v>122</v>
      </c>
      <c r="C558" s="152" t="s">
        <v>123</v>
      </c>
      <c r="D558" s="122">
        <f>SUM(D559)</f>
        <v>2803000</v>
      </c>
      <c r="E558" s="122">
        <f>SUM(E559)</f>
        <v>2753097.85</v>
      </c>
      <c r="F558" s="123">
        <f t="shared" si="29"/>
        <v>98.21968783446307</v>
      </c>
      <c r="G558" s="138"/>
      <c r="H558" s="139"/>
    </row>
    <row r="559" spans="1:7" s="132" customFormat="1" ht="18.75" customHeight="1">
      <c r="A559" s="126"/>
      <c r="B559" s="127"/>
      <c r="C559" s="128" t="s">
        <v>1585</v>
      </c>
      <c r="D559" s="129">
        <f>SUM(D560,D561)</f>
        <v>2803000</v>
      </c>
      <c r="E559" s="129">
        <f>SUM(E560,E561)</f>
        <v>2753097.85</v>
      </c>
      <c r="F559" s="130">
        <f t="shared" si="29"/>
        <v>98.21968783446307</v>
      </c>
      <c r="G559" s="131"/>
    </row>
    <row r="560" spans="1:7" s="139" customFormat="1" ht="28.5" customHeight="1">
      <c r="A560" s="133"/>
      <c r="B560" s="134"/>
      <c r="C560" s="135" t="s">
        <v>293</v>
      </c>
      <c r="D560" s="136">
        <v>2733000</v>
      </c>
      <c r="E560" s="136">
        <v>2687292.85</v>
      </c>
      <c r="F560" s="137">
        <f>E560/D560*100</f>
        <v>98.32758324185876</v>
      </c>
      <c r="G560" s="151"/>
    </row>
    <row r="561" spans="1:7" s="139" customFormat="1" ht="18" customHeight="1">
      <c r="A561" s="133"/>
      <c r="B561" s="134"/>
      <c r="C561" s="1737" t="s">
        <v>1596</v>
      </c>
      <c r="D561" s="1738">
        <v>70000</v>
      </c>
      <c r="E561" s="1738">
        <v>65805</v>
      </c>
      <c r="F561" s="1739">
        <f>E561/D561*100</f>
        <v>94.00714285714285</v>
      </c>
      <c r="G561" s="138"/>
    </row>
    <row r="562" spans="1:8" s="178" customFormat="1" ht="18.75" customHeight="1">
      <c r="A562" s="119"/>
      <c r="B562" s="120" t="s">
        <v>124</v>
      </c>
      <c r="C562" s="121" t="s">
        <v>110</v>
      </c>
      <c r="D562" s="122">
        <f>SUM(D563,D569)</f>
        <v>6025637</v>
      </c>
      <c r="E562" s="122">
        <f>SUM(E563,E569)</f>
        <v>5398433.99</v>
      </c>
      <c r="F562" s="123">
        <f t="shared" si="29"/>
        <v>89.59109202894234</v>
      </c>
      <c r="G562" s="138"/>
      <c r="H562" s="139"/>
    </row>
    <row r="563" spans="1:7" s="132" customFormat="1" ht="18.75" customHeight="1">
      <c r="A563" s="126"/>
      <c r="B563" s="127"/>
      <c r="C563" s="128" t="s">
        <v>1235</v>
      </c>
      <c r="D563" s="129">
        <f>SUM(D564,D567,D568)</f>
        <v>4720997</v>
      </c>
      <c r="E563" s="129">
        <f>SUM(E564,E567,E568)</f>
        <v>4720969.43</v>
      </c>
      <c r="F563" s="130">
        <f t="shared" si="29"/>
        <v>99.99941601318535</v>
      </c>
      <c r="G563" s="131"/>
    </row>
    <row r="564" spans="1:7" s="139" customFormat="1" ht="18" customHeight="1">
      <c r="A564" s="133"/>
      <c r="B564" s="134"/>
      <c r="C564" s="135" t="s">
        <v>1582</v>
      </c>
      <c r="D564" s="136">
        <f>SUM(D566,D565)</f>
        <v>69966</v>
      </c>
      <c r="E564" s="136">
        <f>SUM(E566,E565)</f>
        <v>69938.56</v>
      </c>
      <c r="F564" s="137">
        <f t="shared" si="29"/>
        <v>99.9607809507475</v>
      </c>
      <c r="G564" s="138"/>
    </row>
    <row r="565" spans="1:7" s="145" customFormat="1" ht="18.75" customHeight="1">
      <c r="A565" s="140"/>
      <c r="B565" s="141"/>
      <c r="C565" s="142" t="s">
        <v>1714</v>
      </c>
      <c r="D565" s="143">
        <v>4087</v>
      </c>
      <c r="E565" s="143">
        <v>4086.19</v>
      </c>
      <c r="F565" s="144">
        <f t="shared" si="29"/>
        <v>99.9801810619036</v>
      </c>
      <c r="G565" s="138"/>
    </row>
    <row r="566" spans="1:7" s="145" customFormat="1" ht="18.75" customHeight="1">
      <c r="A566" s="140"/>
      <c r="B566" s="141"/>
      <c r="C566" s="142" t="s">
        <v>1583</v>
      </c>
      <c r="D566" s="143">
        <v>65879</v>
      </c>
      <c r="E566" s="143">
        <v>65852.37</v>
      </c>
      <c r="F566" s="144">
        <f t="shared" si="29"/>
        <v>99.95957740706446</v>
      </c>
      <c r="G566" s="138"/>
    </row>
    <row r="567" spans="1:7" s="139" customFormat="1" ht="18.75" customHeight="1">
      <c r="A567" s="171"/>
      <c r="B567" s="134"/>
      <c r="C567" s="135" t="s">
        <v>1584</v>
      </c>
      <c r="D567" s="136">
        <v>3300080</v>
      </c>
      <c r="E567" s="136">
        <v>3300080</v>
      </c>
      <c r="F567" s="137">
        <f t="shared" si="29"/>
        <v>100</v>
      </c>
      <c r="G567" s="151"/>
    </row>
    <row r="568" spans="1:7" s="139" customFormat="1" ht="18.75" customHeight="1">
      <c r="A568" s="171"/>
      <c r="B568" s="134"/>
      <c r="C568" s="194" t="s">
        <v>1588</v>
      </c>
      <c r="D568" s="136">
        <v>1350951</v>
      </c>
      <c r="E568" s="136">
        <v>1350950.87</v>
      </c>
      <c r="F568" s="137">
        <f t="shared" si="29"/>
        <v>99.99999037714915</v>
      </c>
      <c r="G568" s="138"/>
    </row>
    <row r="569" spans="1:7" s="132" customFormat="1" ht="18.75" customHeight="1">
      <c r="A569" s="126"/>
      <c r="B569" s="127"/>
      <c r="C569" s="128" t="s">
        <v>1585</v>
      </c>
      <c r="D569" s="129">
        <f>SUM(D570)</f>
        <v>1304640</v>
      </c>
      <c r="E569" s="129">
        <f>SUM(E570)</f>
        <v>677464.56</v>
      </c>
      <c r="F569" s="130">
        <f t="shared" si="29"/>
        <v>51.92731788079471</v>
      </c>
      <c r="G569" s="131"/>
    </row>
    <row r="570" spans="1:7" s="139" customFormat="1" ht="28.5" customHeight="1">
      <c r="A570" s="133"/>
      <c r="B570" s="134"/>
      <c r="C570" s="135" t="s">
        <v>293</v>
      </c>
      <c r="D570" s="136">
        <v>1304640</v>
      </c>
      <c r="E570" s="136">
        <v>677464.56</v>
      </c>
      <c r="F570" s="137">
        <f t="shared" si="29"/>
        <v>51.92731788079471</v>
      </c>
      <c r="G570" s="151"/>
    </row>
    <row r="571" spans="1:7" s="98" customFormat="1" ht="18.75" customHeight="1">
      <c r="A571" s="2000" t="s">
        <v>946</v>
      </c>
      <c r="B571" s="2001"/>
      <c r="C571" s="2002"/>
      <c r="D571" s="105">
        <f>SUM(D572,D586,D593,D617,D637,D663,D667,D719,D752,D795,D826,D874)</f>
        <v>86611055.99</v>
      </c>
      <c r="E571" s="105">
        <f>SUM(E572,E586,E593,E617,E637,E663,E667,E719,E752,E795,E826,E874)</f>
        <v>83848437.75000001</v>
      </c>
      <c r="F571" s="198">
        <f t="shared" si="29"/>
        <v>96.81031687187955</v>
      </c>
      <c r="G571" s="96"/>
    </row>
    <row r="572" spans="1:7" s="98" customFormat="1" ht="18.75" customHeight="1">
      <c r="A572" s="211" t="s">
        <v>310</v>
      </c>
      <c r="B572" s="212"/>
      <c r="C572" s="213" t="s">
        <v>311</v>
      </c>
      <c r="D572" s="214">
        <f>SUM(D573,D576)</f>
        <v>42497655</v>
      </c>
      <c r="E572" s="214">
        <f>SUM(E573,E576)</f>
        <v>41818612.97999999</v>
      </c>
      <c r="F572" s="215">
        <f t="shared" si="29"/>
        <v>98.40216590774241</v>
      </c>
      <c r="G572" s="96"/>
    </row>
    <row r="573" spans="1:8" s="110" customFormat="1" ht="18.75" customHeight="1" hidden="1">
      <c r="A573" s="216"/>
      <c r="B573" s="217" t="s">
        <v>948</v>
      </c>
      <c r="C573" s="218" t="s">
        <v>1245</v>
      </c>
      <c r="D573" s="106">
        <f>SUM(D574)</f>
        <v>0</v>
      </c>
      <c r="E573" s="106">
        <f>SUM(E574)</f>
        <v>0</v>
      </c>
      <c r="F573" s="219" t="e">
        <f t="shared" si="29"/>
        <v>#DIV/0!</v>
      </c>
      <c r="G573" s="100"/>
      <c r="H573" s="97"/>
    </row>
    <row r="574" spans="1:7" s="98" customFormat="1" ht="18.75" customHeight="1" hidden="1">
      <c r="A574" s="220"/>
      <c r="B574" s="221"/>
      <c r="C574" s="222" t="s">
        <v>1585</v>
      </c>
      <c r="D574" s="108">
        <f>SUM(D575)</f>
        <v>0</v>
      </c>
      <c r="E574" s="108">
        <f>SUM(E575)</f>
        <v>0</v>
      </c>
      <c r="F574" s="223" t="e">
        <f>E574/D574*100</f>
        <v>#DIV/0!</v>
      </c>
      <c r="G574" s="96"/>
    </row>
    <row r="575" spans="1:7" s="98" customFormat="1" ht="24" customHeight="1" hidden="1">
      <c r="A575" s="224"/>
      <c r="B575" s="207"/>
      <c r="C575" s="225" t="s">
        <v>293</v>
      </c>
      <c r="D575" s="209">
        <v>0</v>
      </c>
      <c r="E575" s="209">
        <v>0</v>
      </c>
      <c r="F575" s="210" t="e">
        <f>E575/D575*100</f>
        <v>#DIV/0!</v>
      </c>
      <c r="G575" s="96"/>
    </row>
    <row r="576" spans="1:8" s="110" customFormat="1" ht="39" customHeight="1">
      <c r="A576" s="216"/>
      <c r="B576" s="217" t="s">
        <v>312</v>
      </c>
      <c r="C576" s="107" t="s">
        <v>555</v>
      </c>
      <c r="D576" s="106">
        <f>SUM(D577,D583)</f>
        <v>42497655</v>
      </c>
      <c r="E576" s="106">
        <f>SUM(E577,E583)</f>
        <v>41818612.97999999</v>
      </c>
      <c r="F576" s="219">
        <f t="shared" si="29"/>
        <v>98.40216590774241</v>
      </c>
      <c r="G576" s="96"/>
      <c r="H576" s="97"/>
    </row>
    <row r="577" spans="1:7" s="109" customFormat="1" ht="18.75" customHeight="1">
      <c r="A577" s="220"/>
      <c r="B577" s="221"/>
      <c r="C577" s="222" t="s">
        <v>1235</v>
      </c>
      <c r="D577" s="108">
        <f>SUM(D578,D581,D582)</f>
        <v>31629630</v>
      </c>
      <c r="E577" s="108">
        <f>SUM(E578,E581,E582)</f>
        <v>31104667.329999994</v>
      </c>
      <c r="F577" s="223">
        <f t="shared" si="29"/>
        <v>98.34028197610908</v>
      </c>
      <c r="G577" s="226"/>
    </row>
    <row r="578" spans="1:7" s="102" customFormat="1" ht="18" customHeight="1">
      <c r="A578" s="224"/>
      <c r="B578" s="207"/>
      <c r="C578" s="225" t="s">
        <v>1582</v>
      </c>
      <c r="D578" s="209">
        <f>SUM(D579,D580)</f>
        <v>30969453</v>
      </c>
      <c r="E578" s="209">
        <f>SUM(E579,E580)</f>
        <v>30444490.089999996</v>
      </c>
      <c r="F578" s="210">
        <f t="shared" si="29"/>
        <v>98.3049009293125</v>
      </c>
      <c r="G578" s="204"/>
    </row>
    <row r="579" spans="1:7" s="205" customFormat="1" ht="18.75" customHeight="1">
      <c r="A579" s="199"/>
      <c r="B579" s="200"/>
      <c r="C579" s="201" t="s">
        <v>1583</v>
      </c>
      <c r="D579" s="202">
        <v>18878521</v>
      </c>
      <c r="E579" s="202">
        <v>18353559.22</v>
      </c>
      <c r="F579" s="203">
        <f t="shared" si="29"/>
        <v>97.21926426333927</v>
      </c>
      <c r="G579" s="204"/>
    </row>
    <row r="580" spans="1:7" s="205" customFormat="1" ht="18.75" customHeight="1">
      <c r="A580" s="199"/>
      <c r="B580" s="200"/>
      <c r="C580" s="201" t="s">
        <v>1714</v>
      </c>
      <c r="D580" s="202">
        <v>12090932</v>
      </c>
      <c r="E580" s="202">
        <v>12090930.87</v>
      </c>
      <c r="F580" s="203">
        <f t="shared" si="29"/>
        <v>99.99999065415304</v>
      </c>
      <c r="G580" s="204"/>
    </row>
    <row r="581" spans="1:7" s="205" customFormat="1" ht="18.75" customHeight="1" hidden="1">
      <c r="A581" s="1021"/>
      <c r="B581" s="200"/>
      <c r="C581" s="208" t="s">
        <v>1596</v>
      </c>
      <c r="D581" s="209">
        <v>0</v>
      </c>
      <c r="E581" s="209">
        <v>0</v>
      </c>
      <c r="F581" s="210" t="e">
        <f t="shared" si="29"/>
        <v>#DIV/0!</v>
      </c>
      <c r="G581" s="204"/>
    </row>
    <row r="582" spans="1:7" s="102" customFormat="1" ht="18.75" customHeight="1">
      <c r="A582" s="206"/>
      <c r="B582" s="207"/>
      <c r="C582" s="208" t="s">
        <v>1588</v>
      </c>
      <c r="D582" s="209">
        <v>660177</v>
      </c>
      <c r="E582" s="209">
        <v>660177.24</v>
      </c>
      <c r="F582" s="210">
        <f t="shared" si="29"/>
        <v>100.0000363538869</v>
      </c>
      <c r="G582" s="204"/>
    </row>
    <row r="583" spans="1:7" s="109" customFormat="1" ht="18.75" customHeight="1">
      <c r="A583" s="220"/>
      <c r="B583" s="221"/>
      <c r="C583" s="222" t="s">
        <v>1585</v>
      </c>
      <c r="D583" s="108">
        <f>SUM(D584,D585)</f>
        <v>10868025</v>
      </c>
      <c r="E583" s="108">
        <f>SUM(E584,E585)</f>
        <v>10713945.649999999</v>
      </c>
      <c r="F583" s="223">
        <f t="shared" si="29"/>
        <v>98.5822690875297</v>
      </c>
      <c r="G583" s="226"/>
    </row>
    <row r="584" spans="1:7" s="102" customFormat="1" ht="27.75" customHeight="1">
      <c r="A584" s="224"/>
      <c r="B584" s="207"/>
      <c r="C584" s="225" t="s">
        <v>293</v>
      </c>
      <c r="D584" s="209">
        <v>9812229</v>
      </c>
      <c r="E584" s="209">
        <v>9658151.11</v>
      </c>
      <c r="F584" s="210">
        <f t="shared" si="29"/>
        <v>98.42973609767974</v>
      </c>
      <c r="G584" s="227"/>
    </row>
    <row r="585" spans="1:7" s="54" customFormat="1" ht="18.75" customHeight="1">
      <c r="A585" s="55"/>
      <c r="B585" s="50"/>
      <c r="C585" s="56" t="s">
        <v>1596</v>
      </c>
      <c r="D585" s="9">
        <v>1055796</v>
      </c>
      <c r="E585" s="9">
        <v>1055794.54</v>
      </c>
      <c r="F585" s="46">
        <f>E585/D585*100</f>
        <v>99.99986171571024</v>
      </c>
      <c r="G585" s="48"/>
    </row>
    <row r="586" spans="1:7" s="98" customFormat="1" ht="18" customHeight="1">
      <c r="A586" s="211" t="s">
        <v>317</v>
      </c>
      <c r="B586" s="212"/>
      <c r="C586" s="213" t="s">
        <v>257</v>
      </c>
      <c r="D586" s="214">
        <f>SUM(D587)</f>
        <v>278713</v>
      </c>
      <c r="E586" s="214">
        <f>SUM(E587)</f>
        <v>238056.56</v>
      </c>
      <c r="F586" s="215">
        <f t="shared" si="29"/>
        <v>85.41279380581457</v>
      </c>
      <c r="G586" s="96"/>
    </row>
    <row r="587" spans="1:8" s="110" customFormat="1" ht="17.25" customHeight="1">
      <c r="A587" s="216"/>
      <c r="B587" s="217" t="s">
        <v>258</v>
      </c>
      <c r="C587" s="107" t="s">
        <v>259</v>
      </c>
      <c r="D587" s="106">
        <f>SUM(D588,D591)</f>
        <v>278713</v>
      </c>
      <c r="E587" s="106">
        <f>SUM(E588,E591)</f>
        <v>238056.56</v>
      </c>
      <c r="F587" s="219">
        <f t="shared" si="29"/>
        <v>85.41279380581457</v>
      </c>
      <c r="G587" s="96"/>
      <c r="H587" s="97"/>
    </row>
    <row r="588" spans="1:7" s="109" customFormat="1" ht="18.75" customHeight="1">
      <c r="A588" s="220"/>
      <c r="B588" s="221"/>
      <c r="C588" s="222" t="s">
        <v>1235</v>
      </c>
      <c r="D588" s="108">
        <f>SUM(D589)</f>
        <v>272113</v>
      </c>
      <c r="E588" s="108">
        <f>SUM(E589)</f>
        <v>236536.28</v>
      </c>
      <c r="F588" s="223">
        <f t="shared" si="29"/>
        <v>86.9257551090907</v>
      </c>
      <c r="G588" s="226"/>
    </row>
    <row r="589" spans="1:7" s="102" customFormat="1" ht="18" customHeight="1">
      <c r="A589" s="224"/>
      <c r="B589" s="207"/>
      <c r="C589" s="225" t="s">
        <v>1582</v>
      </c>
      <c r="D589" s="209">
        <f>SUM(D590)</f>
        <v>272113</v>
      </c>
      <c r="E589" s="209">
        <f>SUM(E590)</f>
        <v>236536.28</v>
      </c>
      <c r="F589" s="210">
        <f t="shared" si="29"/>
        <v>86.9257551090907</v>
      </c>
      <c r="G589" s="204"/>
    </row>
    <row r="590" spans="1:7" s="205" customFormat="1" ht="18.75" customHeight="1">
      <c r="A590" s="199"/>
      <c r="B590" s="200"/>
      <c r="C590" s="201" t="s">
        <v>1583</v>
      </c>
      <c r="D590" s="202">
        <v>272113</v>
      </c>
      <c r="E590" s="202">
        <v>236536.28</v>
      </c>
      <c r="F590" s="203">
        <f t="shared" si="29"/>
        <v>86.9257551090907</v>
      </c>
      <c r="G590" s="204"/>
    </row>
    <row r="591" spans="1:7" s="109" customFormat="1" ht="18.75" customHeight="1">
      <c r="A591" s="220"/>
      <c r="B591" s="221"/>
      <c r="C591" s="222" t="s">
        <v>1585</v>
      </c>
      <c r="D591" s="108">
        <f>SUM(D592)</f>
        <v>6600</v>
      </c>
      <c r="E591" s="108">
        <f>SUM(E592)</f>
        <v>1520.28</v>
      </c>
      <c r="F591" s="223">
        <f t="shared" si="29"/>
        <v>23.034545454545455</v>
      </c>
      <c r="G591" s="226"/>
    </row>
    <row r="592" spans="1:7" s="102" customFormat="1" ht="27" customHeight="1">
      <c r="A592" s="224"/>
      <c r="B592" s="207"/>
      <c r="C592" s="225" t="s">
        <v>293</v>
      </c>
      <c r="D592" s="209">
        <v>6600</v>
      </c>
      <c r="E592" s="209">
        <v>1520.28</v>
      </c>
      <c r="F592" s="210">
        <f t="shared" si="29"/>
        <v>23.034545454545455</v>
      </c>
      <c r="G592" s="227"/>
    </row>
    <row r="593" spans="1:7" s="98" customFormat="1" ht="18.75" customHeight="1">
      <c r="A593" s="211" t="s">
        <v>260</v>
      </c>
      <c r="B593" s="212"/>
      <c r="C593" s="228" t="s">
        <v>261</v>
      </c>
      <c r="D593" s="214">
        <f>SUM(D594,D598,D606,D614)</f>
        <v>768500</v>
      </c>
      <c r="E593" s="214">
        <f>SUM(E594,E598,E606,E614)</f>
        <v>624870.5</v>
      </c>
      <c r="F593" s="215">
        <f t="shared" si="29"/>
        <v>81.31040988939493</v>
      </c>
      <c r="G593" s="96"/>
    </row>
    <row r="594" spans="1:8" s="110" customFormat="1" ht="18.75" customHeight="1">
      <c r="A594" s="216"/>
      <c r="B594" s="217" t="s">
        <v>262</v>
      </c>
      <c r="C594" s="229" t="s">
        <v>1089</v>
      </c>
      <c r="D594" s="106">
        <f>D595</f>
        <v>102000</v>
      </c>
      <c r="E594" s="106">
        <f>E595</f>
        <v>102000</v>
      </c>
      <c r="F594" s="219">
        <f t="shared" si="29"/>
        <v>100</v>
      </c>
      <c r="G594" s="96"/>
      <c r="H594" s="97"/>
    </row>
    <row r="595" spans="1:7" s="109" customFormat="1" ht="18.75" customHeight="1">
      <c r="A595" s="220"/>
      <c r="B595" s="221"/>
      <c r="C595" s="222" t="s">
        <v>1235</v>
      </c>
      <c r="D595" s="108">
        <f>SUM(D596)</f>
        <v>102000</v>
      </c>
      <c r="E595" s="108">
        <f>SUM(E596)</f>
        <v>102000</v>
      </c>
      <c r="F595" s="223">
        <f aca="true" t="shared" si="30" ref="F595:F636">E595/D595*100</f>
        <v>100</v>
      </c>
      <c r="G595" s="226"/>
    </row>
    <row r="596" spans="1:7" s="102" customFormat="1" ht="18" customHeight="1">
      <c r="A596" s="224"/>
      <c r="B596" s="207"/>
      <c r="C596" s="225" t="s">
        <v>1582</v>
      </c>
      <c r="D596" s="209">
        <f>SUM(D597)</f>
        <v>102000</v>
      </c>
      <c r="E596" s="209">
        <f>SUM(E597)</f>
        <v>102000</v>
      </c>
      <c r="F596" s="210">
        <f t="shared" si="30"/>
        <v>100</v>
      </c>
      <c r="G596" s="204"/>
    </row>
    <row r="597" spans="1:7" s="205" customFormat="1" ht="18.75" customHeight="1">
      <c r="A597" s="199"/>
      <c r="B597" s="200"/>
      <c r="C597" s="201" t="s">
        <v>1583</v>
      </c>
      <c r="D597" s="202">
        <v>102000</v>
      </c>
      <c r="E597" s="202">
        <v>102000</v>
      </c>
      <c r="F597" s="203">
        <f t="shared" si="30"/>
        <v>100</v>
      </c>
      <c r="G597" s="204"/>
    </row>
    <row r="598" spans="1:8" s="110" customFormat="1" ht="18.75" customHeight="1">
      <c r="A598" s="216"/>
      <c r="B598" s="217" t="s">
        <v>263</v>
      </c>
      <c r="C598" s="107" t="s">
        <v>264</v>
      </c>
      <c r="D598" s="106">
        <f>SUM(D599,D604)</f>
        <v>270500</v>
      </c>
      <c r="E598" s="106">
        <f>SUM(E599,E604)</f>
        <v>126889.5</v>
      </c>
      <c r="F598" s="219">
        <f t="shared" si="30"/>
        <v>46.90924214417745</v>
      </c>
      <c r="G598" s="96"/>
      <c r="H598" s="97"/>
    </row>
    <row r="599" spans="1:7" s="109" customFormat="1" ht="18.75" customHeight="1">
      <c r="A599" s="220"/>
      <c r="B599" s="221"/>
      <c r="C599" s="222" t="s">
        <v>1235</v>
      </c>
      <c r="D599" s="108">
        <f>SUM(D600,D603)</f>
        <v>262500</v>
      </c>
      <c r="E599" s="108">
        <f>SUM(E600,E603)</f>
        <v>118889.5</v>
      </c>
      <c r="F599" s="223">
        <f t="shared" si="30"/>
        <v>45.29123809523809</v>
      </c>
      <c r="G599" s="226"/>
    </row>
    <row r="600" spans="1:7" s="102" customFormat="1" ht="18" customHeight="1">
      <c r="A600" s="224"/>
      <c r="B600" s="207"/>
      <c r="C600" s="225" t="s">
        <v>1582</v>
      </c>
      <c r="D600" s="209">
        <f>SUM(D601,D602)</f>
        <v>262500</v>
      </c>
      <c r="E600" s="209">
        <f>SUM(E601,E602)</f>
        <v>118889.5</v>
      </c>
      <c r="F600" s="210">
        <f t="shared" si="30"/>
        <v>45.29123809523809</v>
      </c>
      <c r="G600" s="204"/>
    </row>
    <row r="601" spans="1:7" s="205" customFormat="1" ht="18.75" customHeight="1">
      <c r="A601" s="199"/>
      <c r="B601" s="200"/>
      <c r="C601" s="201" t="s">
        <v>1583</v>
      </c>
      <c r="D601" s="202">
        <v>247800</v>
      </c>
      <c r="E601" s="202">
        <v>107565.68</v>
      </c>
      <c r="F601" s="203">
        <f t="shared" si="30"/>
        <v>43.40826472962066</v>
      </c>
      <c r="G601" s="204"/>
    </row>
    <row r="602" spans="1:7" s="205" customFormat="1" ht="18.75" customHeight="1">
      <c r="A602" s="199"/>
      <c r="B602" s="200"/>
      <c r="C602" s="201" t="s">
        <v>1714</v>
      </c>
      <c r="D602" s="202">
        <v>14700</v>
      </c>
      <c r="E602" s="202">
        <v>11323.82</v>
      </c>
      <c r="F602" s="203">
        <f>E602/D602*100</f>
        <v>77.03278911564627</v>
      </c>
      <c r="G602" s="204"/>
    </row>
    <row r="603" spans="1:7" s="102" customFormat="1" ht="28.5" customHeight="1" hidden="1">
      <c r="A603" s="224"/>
      <c r="B603" s="207"/>
      <c r="C603" s="225" t="s">
        <v>1805</v>
      </c>
      <c r="D603" s="209">
        <v>0</v>
      </c>
      <c r="E603" s="209">
        <v>0</v>
      </c>
      <c r="F603" s="210" t="e">
        <f>E603/D603*100</f>
        <v>#DIV/0!</v>
      </c>
      <c r="G603" s="227"/>
    </row>
    <row r="604" spans="1:7" s="109" customFormat="1" ht="18.75" customHeight="1">
      <c r="A604" s="220"/>
      <c r="B604" s="221"/>
      <c r="C604" s="222" t="s">
        <v>1585</v>
      </c>
      <c r="D604" s="108">
        <f>SUM(D605)</f>
        <v>8000</v>
      </c>
      <c r="E604" s="108">
        <f>SUM(E605)</f>
        <v>8000</v>
      </c>
      <c r="F604" s="223">
        <f>E604/D604*100</f>
        <v>100</v>
      </c>
      <c r="G604" s="226"/>
    </row>
    <row r="605" spans="1:7" s="102" customFormat="1" ht="27" customHeight="1">
      <c r="A605" s="224"/>
      <c r="B605" s="207"/>
      <c r="C605" s="225" t="s">
        <v>293</v>
      </c>
      <c r="D605" s="209">
        <v>8000</v>
      </c>
      <c r="E605" s="209">
        <v>8000</v>
      </c>
      <c r="F605" s="210">
        <f>E605/D605*100</f>
        <v>100</v>
      </c>
      <c r="G605" s="227"/>
    </row>
    <row r="606" spans="1:8" s="110" customFormat="1" ht="18.75" customHeight="1">
      <c r="A606" s="230"/>
      <c r="B606" s="217" t="s">
        <v>265</v>
      </c>
      <c r="C606" s="229" t="s">
        <v>255</v>
      </c>
      <c r="D606" s="106">
        <f>SUM(D607,D612)</f>
        <v>396000</v>
      </c>
      <c r="E606" s="106">
        <f>SUM(E607,E612)</f>
        <v>395981</v>
      </c>
      <c r="F606" s="219">
        <f t="shared" si="30"/>
        <v>99.99520202020203</v>
      </c>
      <c r="G606" s="96"/>
      <c r="H606" s="97"/>
    </row>
    <row r="607" spans="1:7" s="109" customFormat="1" ht="18.75" customHeight="1">
      <c r="A607" s="220"/>
      <c r="B607" s="221"/>
      <c r="C607" s="222" t="s">
        <v>1235</v>
      </c>
      <c r="D607" s="108">
        <f>SUM(D608,D611)</f>
        <v>396000</v>
      </c>
      <c r="E607" s="108">
        <f>SUM(E608,E611)</f>
        <v>395981</v>
      </c>
      <c r="F607" s="223">
        <f t="shared" si="30"/>
        <v>99.99520202020203</v>
      </c>
      <c r="G607" s="226"/>
    </row>
    <row r="608" spans="1:7" s="102" customFormat="1" ht="18" customHeight="1">
      <c r="A608" s="224"/>
      <c r="B608" s="207"/>
      <c r="C608" s="225" t="s">
        <v>1582</v>
      </c>
      <c r="D608" s="209">
        <f>SUM(D609,D610)</f>
        <v>395168</v>
      </c>
      <c r="E608" s="209">
        <f>SUM(E609,E610)</f>
        <v>395149.96</v>
      </c>
      <c r="F608" s="210">
        <f t="shared" si="30"/>
        <v>99.99543485302455</v>
      </c>
      <c r="G608" s="204"/>
    </row>
    <row r="609" spans="1:7" s="205" customFormat="1" ht="18.75" customHeight="1">
      <c r="A609" s="199"/>
      <c r="B609" s="200"/>
      <c r="C609" s="201" t="s">
        <v>1583</v>
      </c>
      <c r="D609" s="202">
        <v>37900</v>
      </c>
      <c r="E609" s="202">
        <v>37884.43</v>
      </c>
      <c r="F609" s="203">
        <f t="shared" si="30"/>
        <v>99.95891820580475</v>
      </c>
      <c r="G609" s="204"/>
    </row>
    <row r="610" spans="1:7" s="205" customFormat="1" ht="18.75" customHeight="1">
      <c r="A610" s="199"/>
      <c r="B610" s="200"/>
      <c r="C610" s="201" t="s">
        <v>1714</v>
      </c>
      <c r="D610" s="202">
        <v>357268</v>
      </c>
      <c r="E610" s="202">
        <v>357265.53</v>
      </c>
      <c r="F610" s="203">
        <f t="shared" si="30"/>
        <v>99.99930864225176</v>
      </c>
      <c r="G610" s="204"/>
    </row>
    <row r="611" spans="1:7" s="102" customFormat="1" ht="18.75" customHeight="1">
      <c r="A611" s="206"/>
      <c r="B611" s="207"/>
      <c r="C611" s="208" t="s">
        <v>1588</v>
      </c>
      <c r="D611" s="209">
        <v>832</v>
      </c>
      <c r="E611" s="209">
        <v>831.04</v>
      </c>
      <c r="F611" s="210">
        <f t="shared" si="30"/>
        <v>99.88461538461539</v>
      </c>
      <c r="G611" s="204"/>
    </row>
    <row r="612" spans="1:7" s="109" customFormat="1" ht="18.75" customHeight="1" hidden="1">
      <c r="A612" s="220"/>
      <c r="B612" s="221"/>
      <c r="C612" s="222" t="s">
        <v>1585</v>
      </c>
      <c r="D612" s="108">
        <f>SUM(D613)</f>
        <v>0</v>
      </c>
      <c r="E612" s="108">
        <f>SUM(E613)</f>
        <v>0</v>
      </c>
      <c r="F612" s="223" t="e">
        <f>E612/D612*100</f>
        <v>#DIV/0!</v>
      </c>
      <c r="G612" s="226"/>
    </row>
    <row r="613" spans="1:7" s="102" customFormat="1" ht="26.25" customHeight="1" hidden="1">
      <c r="A613" s="224"/>
      <c r="B613" s="207"/>
      <c r="C613" s="225" t="s">
        <v>293</v>
      </c>
      <c r="D613" s="209">
        <v>0</v>
      </c>
      <c r="E613" s="209">
        <v>0</v>
      </c>
      <c r="F613" s="210" t="e">
        <f>E613/D613*100</f>
        <v>#DIV/0!</v>
      </c>
      <c r="G613" s="204"/>
    </row>
    <row r="614" spans="1:6" ht="18.75" customHeight="1" hidden="1">
      <c r="A614" s="59"/>
      <c r="B614" s="3" t="s">
        <v>960</v>
      </c>
      <c r="C614" s="4" t="s">
        <v>215</v>
      </c>
      <c r="D614" s="2">
        <f>SUM(D615)</f>
        <v>0</v>
      </c>
      <c r="E614" s="2">
        <f>SUM(E615)</f>
        <v>0</v>
      </c>
      <c r="F614" s="39" t="e">
        <f>E614/D614*100</f>
        <v>#DIV/0!</v>
      </c>
    </row>
    <row r="615" spans="1:7" s="7" customFormat="1" ht="18.75" customHeight="1" hidden="1">
      <c r="A615" s="40"/>
      <c r="B615" s="41"/>
      <c r="C615" s="42" t="s">
        <v>1585</v>
      </c>
      <c r="D615" s="6">
        <f>SUM(D616)</f>
        <v>0</v>
      </c>
      <c r="E615" s="6">
        <f>SUM(E616)</f>
        <v>0</v>
      </c>
      <c r="F615" s="43" t="e">
        <f>E615/D615*100</f>
        <v>#DIV/0!</v>
      </c>
      <c r="G615" s="47"/>
    </row>
    <row r="616" spans="1:7" s="11" customFormat="1" ht="26.25" customHeight="1" hidden="1">
      <c r="A616" s="44"/>
      <c r="B616" s="45"/>
      <c r="C616" s="10" t="s">
        <v>293</v>
      </c>
      <c r="D616" s="9">
        <v>0</v>
      </c>
      <c r="E616" s="9">
        <v>0</v>
      </c>
      <c r="F616" s="46" t="e">
        <f>E616/D616*100</f>
        <v>#DIV/0!</v>
      </c>
      <c r="G616" s="48"/>
    </row>
    <row r="617" spans="1:7" s="98" customFormat="1" ht="18.75" customHeight="1">
      <c r="A617" s="244" t="s">
        <v>941</v>
      </c>
      <c r="B617" s="212"/>
      <c r="C617" s="213" t="s">
        <v>942</v>
      </c>
      <c r="D617" s="214">
        <f>SUM(D618,D623,D628,D632)</f>
        <v>2165027</v>
      </c>
      <c r="E617" s="214">
        <f>SUM(E618,E623,E628,E632)</f>
        <v>2077776.8900000001</v>
      </c>
      <c r="F617" s="215">
        <f t="shared" si="30"/>
        <v>95.97002208286548</v>
      </c>
      <c r="G617" s="96"/>
    </row>
    <row r="618" spans="1:8" s="110" customFormat="1" ht="18.75" customHeight="1">
      <c r="A618" s="230"/>
      <c r="B618" s="217" t="s">
        <v>943</v>
      </c>
      <c r="C618" s="229" t="s">
        <v>949</v>
      </c>
      <c r="D618" s="106">
        <f>D619</f>
        <v>80900</v>
      </c>
      <c r="E618" s="106">
        <f>E619</f>
        <v>80899.37</v>
      </c>
      <c r="F618" s="219">
        <f t="shared" si="30"/>
        <v>99.99922126081582</v>
      </c>
      <c r="G618" s="96"/>
      <c r="H618" s="97"/>
    </row>
    <row r="619" spans="1:7" s="109" customFormat="1" ht="18.75" customHeight="1">
      <c r="A619" s="220"/>
      <c r="B619" s="221"/>
      <c r="C619" s="222" t="s">
        <v>1235</v>
      </c>
      <c r="D619" s="108">
        <f>SUM(D620)</f>
        <v>80900</v>
      </c>
      <c r="E619" s="108">
        <f>SUM(E620)</f>
        <v>80899.37</v>
      </c>
      <c r="F619" s="223">
        <f t="shared" si="30"/>
        <v>99.99922126081582</v>
      </c>
      <c r="G619" s="226"/>
    </row>
    <row r="620" spans="1:7" s="102" customFormat="1" ht="18" customHeight="1">
      <c r="A620" s="224"/>
      <c r="B620" s="207"/>
      <c r="C620" s="225" t="s">
        <v>1582</v>
      </c>
      <c r="D620" s="209">
        <f>SUM(D621,D622)</f>
        <v>80900</v>
      </c>
      <c r="E620" s="209">
        <f>SUM(E621,E622)</f>
        <v>80899.37</v>
      </c>
      <c r="F620" s="210">
        <f t="shared" si="30"/>
        <v>99.99922126081582</v>
      </c>
      <c r="G620" s="204"/>
    </row>
    <row r="621" spans="1:7" s="205" customFormat="1" ht="18.75" customHeight="1" hidden="1">
      <c r="A621" s="199"/>
      <c r="B621" s="200"/>
      <c r="C621" s="201" t="s">
        <v>1583</v>
      </c>
      <c r="D621" s="202">
        <v>0</v>
      </c>
      <c r="E621" s="202">
        <v>0</v>
      </c>
      <c r="F621" s="203" t="e">
        <f t="shared" si="30"/>
        <v>#DIV/0!</v>
      </c>
      <c r="G621" s="204"/>
    </row>
    <row r="622" spans="1:7" s="205" customFormat="1" ht="18.75" customHeight="1">
      <c r="A622" s="199"/>
      <c r="B622" s="200"/>
      <c r="C622" s="201" t="s">
        <v>1714</v>
      </c>
      <c r="D622" s="202">
        <v>80900</v>
      </c>
      <c r="E622" s="202">
        <v>80899.37</v>
      </c>
      <c r="F622" s="203">
        <f t="shared" si="30"/>
        <v>99.99922126081582</v>
      </c>
      <c r="G622" s="204"/>
    </row>
    <row r="623" spans="1:8" s="110" customFormat="1" ht="18.75" customHeight="1">
      <c r="A623" s="230"/>
      <c r="B623" s="217" t="s">
        <v>950</v>
      </c>
      <c r="C623" s="218" t="s">
        <v>0</v>
      </c>
      <c r="D623" s="106">
        <f>D624</f>
        <v>2045287</v>
      </c>
      <c r="E623" s="106">
        <f>E624</f>
        <v>1977538.71</v>
      </c>
      <c r="F623" s="219">
        <f t="shared" si="30"/>
        <v>96.68759005459869</v>
      </c>
      <c r="G623" s="96"/>
      <c r="H623" s="97"/>
    </row>
    <row r="624" spans="1:7" s="109" customFormat="1" ht="18.75" customHeight="1">
      <c r="A624" s="220"/>
      <c r="B624" s="221"/>
      <c r="C624" s="222" t="s">
        <v>1235</v>
      </c>
      <c r="D624" s="108">
        <f>SUM(D625)</f>
        <v>2045287</v>
      </c>
      <c r="E624" s="108">
        <f>SUM(E625)</f>
        <v>1977538.71</v>
      </c>
      <c r="F624" s="223">
        <f t="shared" si="30"/>
        <v>96.68759005459869</v>
      </c>
      <c r="G624" s="226"/>
    </row>
    <row r="625" spans="1:7" s="102" customFormat="1" ht="18" customHeight="1">
      <c r="A625" s="224"/>
      <c r="B625" s="207"/>
      <c r="C625" s="225" t="s">
        <v>1582</v>
      </c>
      <c r="D625" s="209">
        <f>SUM(D626,D627)</f>
        <v>2045287</v>
      </c>
      <c r="E625" s="209">
        <f>SUM(E626,E627)</f>
        <v>1977538.71</v>
      </c>
      <c r="F625" s="210">
        <f t="shared" si="30"/>
        <v>96.68759005459869</v>
      </c>
      <c r="G625" s="204"/>
    </row>
    <row r="626" spans="1:7" s="205" customFormat="1" ht="18.75" customHeight="1">
      <c r="A626" s="199"/>
      <c r="B626" s="200"/>
      <c r="C626" s="201" t="s">
        <v>1583</v>
      </c>
      <c r="D626" s="202">
        <v>376970</v>
      </c>
      <c r="E626" s="202">
        <v>313043.93</v>
      </c>
      <c r="F626" s="203">
        <f t="shared" si="30"/>
        <v>83.04213332625937</v>
      </c>
      <c r="G626" s="204"/>
    </row>
    <row r="627" spans="1:7" s="205" customFormat="1" ht="18.75" customHeight="1">
      <c r="A627" s="199"/>
      <c r="B627" s="200"/>
      <c r="C627" s="201" t="s">
        <v>1714</v>
      </c>
      <c r="D627" s="202">
        <v>1668317</v>
      </c>
      <c r="E627" s="202">
        <v>1664494.78</v>
      </c>
      <c r="F627" s="203">
        <f t="shared" si="30"/>
        <v>99.77089366109678</v>
      </c>
      <c r="G627" s="204"/>
    </row>
    <row r="628" spans="1:8" s="110" customFormat="1" ht="18.75" customHeight="1">
      <c r="A628" s="230"/>
      <c r="B628" s="217" t="s">
        <v>1</v>
      </c>
      <c r="C628" s="218" t="s">
        <v>383</v>
      </c>
      <c r="D628" s="106">
        <f aca="true" t="shared" si="31" ref="D628:E630">SUM(D629)</f>
        <v>19500</v>
      </c>
      <c r="E628" s="106">
        <f t="shared" si="31"/>
        <v>0</v>
      </c>
      <c r="F628" s="219">
        <f>E628/D628*100</f>
        <v>0</v>
      </c>
      <c r="G628" s="96"/>
      <c r="H628" s="97"/>
    </row>
    <row r="629" spans="1:7" s="109" customFormat="1" ht="18.75" customHeight="1">
      <c r="A629" s="220"/>
      <c r="B629" s="221"/>
      <c r="C629" s="222" t="s">
        <v>1235</v>
      </c>
      <c r="D629" s="108">
        <f t="shared" si="31"/>
        <v>19500</v>
      </c>
      <c r="E629" s="108">
        <f t="shared" si="31"/>
        <v>0</v>
      </c>
      <c r="F629" s="223">
        <f>E629/D629*100</f>
        <v>0</v>
      </c>
      <c r="G629" s="226"/>
    </row>
    <row r="630" spans="1:7" s="102" customFormat="1" ht="18" customHeight="1">
      <c r="A630" s="224"/>
      <c r="B630" s="207"/>
      <c r="C630" s="225" t="s">
        <v>1582</v>
      </c>
      <c r="D630" s="209">
        <f t="shared" si="31"/>
        <v>19500</v>
      </c>
      <c r="E630" s="209">
        <f t="shared" si="31"/>
        <v>0</v>
      </c>
      <c r="F630" s="210">
        <f>E630/D630*100</f>
        <v>0</v>
      </c>
      <c r="G630" s="204"/>
    </row>
    <row r="631" spans="1:7" s="205" customFormat="1" ht="18.75" customHeight="1">
      <c r="A631" s="199"/>
      <c r="B631" s="200"/>
      <c r="C631" s="201" t="s">
        <v>1583</v>
      </c>
      <c r="D631" s="202">
        <v>19500</v>
      </c>
      <c r="E631" s="202">
        <v>0</v>
      </c>
      <c r="F631" s="203">
        <f>E631/D631*100</f>
        <v>0</v>
      </c>
      <c r="G631" s="204"/>
    </row>
    <row r="632" spans="1:8" s="110" customFormat="1" ht="18.75" customHeight="1">
      <c r="A632" s="230"/>
      <c r="B632" s="217" t="s">
        <v>2</v>
      </c>
      <c r="C632" s="229" t="s">
        <v>1754</v>
      </c>
      <c r="D632" s="106">
        <f>D633</f>
        <v>19340</v>
      </c>
      <c r="E632" s="106">
        <f>E633</f>
        <v>19338.809999999998</v>
      </c>
      <c r="F632" s="219">
        <f t="shared" si="30"/>
        <v>99.9938469493278</v>
      </c>
      <c r="G632" s="96"/>
      <c r="H632" s="97"/>
    </row>
    <row r="633" spans="1:7" s="109" customFormat="1" ht="18.75" customHeight="1">
      <c r="A633" s="220"/>
      <c r="B633" s="221"/>
      <c r="C633" s="222" t="s">
        <v>1235</v>
      </c>
      <c r="D633" s="108">
        <f>SUM(D634)</f>
        <v>19340</v>
      </c>
      <c r="E633" s="108">
        <f>SUM(E634)</f>
        <v>19338.809999999998</v>
      </c>
      <c r="F633" s="223">
        <f t="shared" si="30"/>
        <v>99.9938469493278</v>
      </c>
      <c r="G633" s="226"/>
    </row>
    <row r="634" spans="1:7" s="102" customFormat="1" ht="18" customHeight="1">
      <c r="A634" s="224"/>
      <c r="B634" s="207"/>
      <c r="C634" s="225" t="s">
        <v>1582</v>
      </c>
      <c r="D634" s="209">
        <f>SUM(D635,D636)</f>
        <v>19340</v>
      </c>
      <c r="E634" s="209">
        <f>SUM(E635,E636)</f>
        <v>19338.809999999998</v>
      </c>
      <c r="F634" s="210">
        <f t="shared" si="30"/>
        <v>99.9938469493278</v>
      </c>
      <c r="G634" s="204"/>
    </row>
    <row r="635" spans="1:7" s="205" customFormat="1" ht="18.75" customHeight="1">
      <c r="A635" s="199"/>
      <c r="B635" s="200"/>
      <c r="C635" s="201" t="s">
        <v>1583</v>
      </c>
      <c r="D635" s="202">
        <v>9403</v>
      </c>
      <c r="E635" s="202">
        <v>9402.21</v>
      </c>
      <c r="F635" s="203">
        <f t="shared" si="30"/>
        <v>99.99159842603423</v>
      </c>
      <c r="G635" s="204"/>
    </row>
    <row r="636" spans="1:7" s="205" customFormat="1" ht="18.75" customHeight="1">
      <c r="A636" s="199"/>
      <c r="B636" s="200"/>
      <c r="C636" s="201" t="s">
        <v>1714</v>
      </c>
      <c r="D636" s="202">
        <v>9937</v>
      </c>
      <c r="E636" s="202">
        <v>9936.6</v>
      </c>
      <c r="F636" s="203">
        <f t="shared" si="30"/>
        <v>99.99597464023347</v>
      </c>
      <c r="G636" s="204"/>
    </row>
    <row r="637" spans="1:8" s="246" customFormat="1" ht="27.75" customHeight="1">
      <c r="A637" s="245" t="s">
        <v>5</v>
      </c>
      <c r="B637" s="212"/>
      <c r="C637" s="228" t="s">
        <v>1547</v>
      </c>
      <c r="D637" s="214">
        <f>SUM(D638,D643,D646,D655,D659)</f>
        <v>4619754</v>
      </c>
      <c r="E637" s="214">
        <f>SUM(E638,E643,E646,E655,E659)</f>
        <v>4491132.0200000005</v>
      </c>
      <c r="F637" s="215">
        <f aca="true" t="shared" si="32" ref="F637:F647">E637/D637*100</f>
        <v>97.21582621065971</v>
      </c>
      <c r="G637" s="204"/>
      <c r="H637" s="102"/>
    </row>
    <row r="638" spans="1:8" s="246" customFormat="1" ht="18.75" customHeight="1">
      <c r="A638" s="230"/>
      <c r="B638" s="217" t="s">
        <v>1727</v>
      </c>
      <c r="C638" s="218" t="s">
        <v>1728</v>
      </c>
      <c r="D638" s="106">
        <f>SUM(D639,D642)</f>
        <v>165000</v>
      </c>
      <c r="E638" s="106">
        <f>SUM(E639,E642)</f>
        <v>165000</v>
      </c>
      <c r="F638" s="219">
        <f t="shared" si="32"/>
        <v>100</v>
      </c>
      <c r="G638" s="204"/>
      <c r="H638" s="102"/>
    </row>
    <row r="639" spans="1:7" s="109" customFormat="1" ht="18.75" customHeight="1">
      <c r="A639" s="220"/>
      <c r="B639" s="221"/>
      <c r="C639" s="222" t="s">
        <v>1235</v>
      </c>
      <c r="D639" s="108">
        <f>SUM(D640)</f>
        <v>130000</v>
      </c>
      <c r="E639" s="108">
        <f>SUM(E640)</f>
        <v>130000</v>
      </c>
      <c r="F639" s="223">
        <f t="shared" si="32"/>
        <v>100</v>
      </c>
      <c r="G639" s="226"/>
    </row>
    <row r="640" spans="1:7" s="102" customFormat="1" ht="29.25" customHeight="1">
      <c r="A640" s="206"/>
      <c r="B640" s="207"/>
      <c r="C640" s="225" t="s">
        <v>1806</v>
      </c>
      <c r="D640" s="209">
        <v>130000</v>
      </c>
      <c r="E640" s="209">
        <v>130000</v>
      </c>
      <c r="F640" s="210">
        <f>E640/D640*100</f>
        <v>100</v>
      </c>
      <c r="G640" s="227"/>
    </row>
    <row r="641" spans="1:7" s="7" customFormat="1" ht="18.75" customHeight="1">
      <c r="A641" s="40"/>
      <c r="B641" s="41"/>
      <c r="C641" s="42" t="s">
        <v>1585</v>
      </c>
      <c r="D641" s="6">
        <f>SUM(D642)</f>
        <v>35000</v>
      </c>
      <c r="E641" s="6">
        <f>SUM(E642)</f>
        <v>35000</v>
      </c>
      <c r="F641" s="43">
        <f>E641/D641*100</f>
        <v>100</v>
      </c>
      <c r="G641" s="47"/>
    </row>
    <row r="642" spans="1:7" s="11" customFormat="1" ht="27.75" customHeight="1">
      <c r="A642" s="44"/>
      <c r="B642" s="45"/>
      <c r="C642" s="10" t="s">
        <v>293</v>
      </c>
      <c r="D642" s="9">
        <v>35000</v>
      </c>
      <c r="E642" s="9">
        <v>35000</v>
      </c>
      <c r="F642" s="46">
        <f>E642/D642*100</f>
        <v>100</v>
      </c>
      <c r="G642" s="58"/>
    </row>
    <row r="643" spans="1:8" s="252" customFormat="1" ht="18.75" customHeight="1" hidden="1">
      <c r="A643" s="230"/>
      <c r="B643" s="217" t="s">
        <v>1685</v>
      </c>
      <c r="C643" s="107" t="s">
        <v>1686</v>
      </c>
      <c r="D643" s="106">
        <f>SUM(D644)</f>
        <v>0</v>
      </c>
      <c r="E643" s="106">
        <f>SUM(E644)</f>
        <v>0</v>
      </c>
      <c r="F643" s="219" t="e">
        <f t="shared" si="32"/>
        <v>#DIV/0!</v>
      </c>
      <c r="G643" s="96"/>
      <c r="H643" s="251"/>
    </row>
    <row r="644" spans="1:7" s="109" customFormat="1" ht="18.75" customHeight="1" hidden="1">
      <c r="A644" s="220"/>
      <c r="B644" s="221"/>
      <c r="C644" s="222" t="s">
        <v>1235</v>
      </c>
      <c r="D644" s="108">
        <f>SUM(D645)</f>
        <v>0</v>
      </c>
      <c r="E644" s="108">
        <f>SUM(E645)</f>
        <v>0</v>
      </c>
      <c r="F644" s="223" t="e">
        <f>E644/D644*100</f>
        <v>#DIV/0!</v>
      </c>
      <c r="G644" s="226"/>
    </row>
    <row r="645" spans="1:7" s="102" customFormat="1" ht="27.75" customHeight="1" hidden="1">
      <c r="A645" s="206"/>
      <c r="B645" s="207"/>
      <c r="C645" s="225" t="s">
        <v>1806</v>
      </c>
      <c r="D645" s="209">
        <v>0</v>
      </c>
      <c r="E645" s="209">
        <v>0</v>
      </c>
      <c r="F645" s="210" t="e">
        <f>E645/D645*100</f>
        <v>#DIV/0!</v>
      </c>
      <c r="G645" s="227"/>
    </row>
    <row r="646" spans="1:8" s="246" customFormat="1" ht="18.75" customHeight="1">
      <c r="A646" s="230"/>
      <c r="B646" s="217" t="s">
        <v>6</v>
      </c>
      <c r="C646" s="107" t="s">
        <v>385</v>
      </c>
      <c r="D646" s="106">
        <f>SUM(D647,D654)</f>
        <v>4434588</v>
      </c>
      <c r="E646" s="106">
        <f>SUM(E647,E654)</f>
        <v>4305966.0200000005</v>
      </c>
      <c r="F646" s="219">
        <f t="shared" si="32"/>
        <v>97.09957317342672</v>
      </c>
      <c r="G646" s="204"/>
      <c r="H646" s="102"/>
    </row>
    <row r="647" spans="1:7" s="109" customFormat="1" ht="18.75" customHeight="1">
      <c r="A647" s="220"/>
      <c r="B647" s="221"/>
      <c r="C647" s="222" t="s">
        <v>1235</v>
      </c>
      <c r="D647" s="108">
        <f>SUM(D648,D651,D652)</f>
        <v>4354588</v>
      </c>
      <c r="E647" s="108">
        <f>SUM(E648,E651,E652)</f>
        <v>4305966.0200000005</v>
      </c>
      <c r="F647" s="223">
        <f t="shared" si="32"/>
        <v>98.88343099278279</v>
      </c>
      <c r="G647" s="226"/>
    </row>
    <row r="648" spans="1:7" s="102" customFormat="1" ht="18" customHeight="1">
      <c r="A648" s="224"/>
      <c r="B648" s="207"/>
      <c r="C648" s="225" t="s">
        <v>1582</v>
      </c>
      <c r="D648" s="209">
        <f>SUM(D649,D650)</f>
        <v>4137438</v>
      </c>
      <c r="E648" s="209">
        <f>SUM(E649,E650)</f>
        <v>4130816.58</v>
      </c>
      <c r="F648" s="210">
        <f aca="true" t="shared" si="33" ref="F648:F708">E648/D648*100</f>
        <v>99.83996328162502</v>
      </c>
      <c r="G648" s="204"/>
    </row>
    <row r="649" spans="1:7" s="205" customFormat="1" ht="18.75" customHeight="1">
      <c r="A649" s="199"/>
      <c r="B649" s="200"/>
      <c r="C649" s="201" t="s">
        <v>1714</v>
      </c>
      <c r="D649" s="202">
        <v>3573786</v>
      </c>
      <c r="E649" s="202">
        <v>3567169.11</v>
      </c>
      <c r="F649" s="203">
        <f t="shared" si="33"/>
        <v>99.81484929427783</v>
      </c>
      <c r="G649" s="204"/>
    </row>
    <row r="650" spans="1:7" s="205" customFormat="1" ht="18.75" customHeight="1">
      <c r="A650" s="199"/>
      <c r="B650" s="200"/>
      <c r="C650" s="201" t="s">
        <v>1583</v>
      </c>
      <c r="D650" s="202">
        <v>563652</v>
      </c>
      <c r="E650" s="202">
        <v>563647.47</v>
      </c>
      <c r="F650" s="203">
        <f t="shared" si="33"/>
        <v>99.99919631261842</v>
      </c>
      <c r="G650" s="204"/>
    </row>
    <row r="651" spans="1:7" s="102" customFormat="1" ht="18.75" customHeight="1">
      <c r="A651" s="206"/>
      <c r="B651" s="207"/>
      <c r="C651" s="208" t="s">
        <v>1588</v>
      </c>
      <c r="D651" s="209">
        <v>175150</v>
      </c>
      <c r="E651" s="209">
        <v>175149.44</v>
      </c>
      <c r="F651" s="210">
        <f t="shared" si="33"/>
        <v>99.99968027405082</v>
      </c>
      <c r="G651" s="204"/>
    </row>
    <row r="652" spans="1:7" s="102" customFormat="1" ht="18.75" customHeight="1">
      <c r="A652" s="206"/>
      <c r="B652" s="207"/>
      <c r="C652" s="135" t="s">
        <v>1584</v>
      </c>
      <c r="D652" s="136">
        <v>42000</v>
      </c>
      <c r="E652" s="136">
        <v>0</v>
      </c>
      <c r="F652" s="137">
        <f t="shared" si="33"/>
        <v>0</v>
      </c>
      <c r="G652" s="204"/>
    </row>
    <row r="653" spans="1:7" s="7" customFormat="1" ht="18.75" customHeight="1">
      <c r="A653" s="40"/>
      <c r="B653" s="41"/>
      <c r="C653" s="42" t="s">
        <v>1585</v>
      </c>
      <c r="D653" s="6">
        <f>SUM(D654)</f>
        <v>80000</v>
      </c>
      <c r="E653" s="6">
        <f>SUM(E654)</f>
        <v>0</v>
      </c>
      <c r="F653" s="43">
        <f t="shared" si="33"/>
        <v>0</v>
      </c>
      <c r="G653" s="47"/>
    </row>
    <row r="654" spans="1:7" s="11" customFormat="1" ht="25.5" customHeight="1">
      <c r="A654" s="44"/>
      <c r="B654" s="45"/>
      <c r="C654" s="10" t="s">
        <v>293</v>
      </c>
      <c r="D654" s="9">
        <v>80000</v>
      </c>
      <c r="E654" s="9">
        <v>0</v>
      </c>
      <c r="F654" s="46">
        <f t="shared" si="33"/>
        <v>0</v>
      </c>
      <c r="G654" s="58"/>
    </row>
    <row r="655" spans="1:8" s="246" customFormat="1" ht="18.75" customHeight="1">
      <c r="A655" s="230"/>
      <c r="B655" s="217" t="s">
        <v>1733</v>
      </c>
      <c r="C655" s="107" t="s">
        <v>1734</v>
      </c>
      <c r="D655" s="106">
        <f aca="true" t="shared" si="34" ref="D655:E661">SUM(D656)</f>
        <v>166</v>
      </c>
      <c r="E655" s="106">
        <f t="shared" si="34"/>
        <v>166</v>
      </c>
      <c r="F655" s="219">
        <f t="shared" si="33"/>
        <v>100</v>
      </c>
      <c r="G655" s="204"/>
      <c r="H655" s="102"/>
    </row>
    <row r="656" spans="1:7" s="109" customFormat="1" ht="18.75" customHeight="1">
      <c r="A656" s="220"/>
      <c r="B656" s="221"/>
      <c r="C656" s="222" t="s">
        <v>1235</v>
      </c>
      <c r="D656" s="108">
        <f t="shared" si="34"/>
        <v>166</v>
      </c>
      <c r="E656" s="108">
        <f t="shared" si="34"/>
        <v>166</v>
      </c>
      <c r="F656" s="223">
        <f t="shared" si="33"/>
        <v>100</v>
      </c>
      <c r="G656" s="226"/>
    </row>
    <row r="657" spans="1:7" s="102" customFormat="1" ht="18" customHeight="1">
      <c r="A657" s="224"/>
      <c r="B657" s="207"/>
      <c r="C657" s="225" t="s">
        <v>1582</v>
      </c>
      <c r="D657" s="209">
        <f t="shared" si="34"/>
        <v>166</v>
      </c>
      <c r="E657" s="209">
        <f t="shared" si="34"/>
        <v>166</v>
      </c>
      <c r="F657" s="210">
        <f aca="true" t="shared" si="35" ref="F657:F666">E657/D657*100</f>
        <v>100</v>
      </c>
      <c r="G657" s="204"/>
    </row>
    <row r="658" spans="1:7" s="205" customFormat="1" ht="18.75" customHeight="1">
      <c r="A658" s="199"/>
      <c r="B658" s="200"/>
      <c r="C658" s="201" t="s">
        <v>1583</v>
      </c>
      <c r="D658" s="202">
        <v>166</v>
      </c>
      <c r="E658" s="202">
        <v>166</v>
      </c>
      <c r="F658" s="203">
        <f t="shared" si="35"/>
        <v>100</v>
      </c>
      <c r="G658" s="204"/>
    </row>
    <row r="659" spans="1:7" s="205" customFormat="1" ht="18.75" customHeight="1">
      <c r="A659" s="1021"/>
      <c r="B659" s="217" t="s">
        <v>1731</v>
      </c>
      <c r="C659" s="107" t="s">
        <v>215</v>
      </c>
      <c r="D659" s="106">
        <f t="shared" si="34"/>
        <v>20000</v>
      </c>
      <c r="E659" s="106">
        <f t="shared" si="34"/>
        <v>20000</v>
      </c>
      <c r="F659" s="219">
        <f t="shared" si="35"/>
        <v>100</v>
      </c>
      <c r="G659" s="204"/>
    </row>
    <row r="660" spans="1:7" s="205" customFormat="1" ht="18.75" customHeight="1">
      <c r="A660" s="1021"/>
      <c r="B660" s="221"/>
      <c r="C660" s="222" t="s">
        <v>1235</v>
      </c>
      <c r="D660" s="108">
        <f t="shared" si="34"/>
        <v>20000</v>
      </c>
      <c r="E660" s="108">
        <f t="shared" si="34"/>
        <v>20000</v>
      </c>
      <c r="F660" s="223">
        <f t="shared" si="35"/>
        <v>100</v>
      </c>
      <c r="G660" s="204"/>
    </row>
    <row r="661" spans="1:7" s="205" customFormat="1" ht="18.75" customHeight="1">
      <c r="A661" s="1021"/>
      <c r="B661" s="207"/>
      <c r="C661" s="225" t="s">
        <v>1582</v>
      </c>
      <c r="D661" s="209">
        <f t="shared" si="34"/>
        <v>20000</v>
      </c>
      <c r="E661" s="209">
        <f t="shared" si="34"/>
        <v>20000</v>
      </c>
      <c r="F661" s="210">
        <f t="shared" si="35"/>
        <v>100</v>
      </c>
      <c r="G661" s="204"/>
    </row>
    <row r="662" spans="1:7" s="205" customFormat="1" ht="18.75" customHeight="1">
      <c r="A662" s="1021"/>
      <c r="B662" s="200"/>
      <c r="C662" s="201" t="s">
        <v>1583</v>
      </c>
      <c r="D662" s="202">
        <v>20000</v>
      </c>
      <c r="E662" s="202">
        <v>20000</v>
      </c>
      <c r="F662" s="203">
        <f t="shared" si="35"/>
        <v>100</v>
      </c>
      <c r="G662" s="204"/>
    </row>
    <row r="663" spans="1:7" s="205" customFormat="1" ht="18.75" customHeight="1">
      <c r="A663" s="170" t="s">
        <v>9</v>
      </c>
      <c r="B663" s="113"/>
      <c r="C663" s="154" t="s">
        <v>1745</v>
      </c>
      <c r="D663" s="115">
        <f>D664</f>
        <v>3731670</v>
      </c>
      <c r="E663" s="115">
        <f>E664</f>
        <v>3645908.24</v>
      </c>
      <c r="F663" s="116">
        <f t="shared" si="35"/>
        <v>97.70178606361227</v>
      </c>
      <c r="G663" s="204"/>
    </row>
    <row r="664" spans="1:7" s="205" customFormat="1" ht="27" customHeight="1">
      <c r="A664" s="169"/>
      <c r="B664" s="969" t="s">
        <v>1446</v>
      </c>
      <c r="C664" s="1685" t="s">
        <v>1447</v>
      </c>
      <c r="D664" s="122">
        <f>D665</f>
        <v>3731670</v>
      </c>
      <c r="E664" s="122">
        <f>E665</f>
        <v>3645908.24</v>
      </c>
      <c r="F664" s="123">
        <f t="shared" si="35"/>
        <v>97.70178606361227</v>
      </c>
      <c r="G664" s="204"/>
    </row>
    <row r="665" spans="1:7" s="205" customFormat="1" ht="18.75" customHeight="1">
      <c r="A665" s="126"/>
      <c r="B665" s="969"/>
      <c r="C665" s="128" t="s">
        <v>1235</v>
      </c>
      <c r="D665" s="129">
        <f>SUM(D666)</f>
        <v>3731670</v>
      </c>
      <c r="E665" s="129">
        <f>SUM(E666)</f>
        <v>3645908.24</v>
      </c>
      <c r="F665" s="130">
        <f t="shared" si="35"/>
        <v>97.70178606361227</v>
      </c>
      <c r="G665" s="204"/>
    </row>
    <row r="666" spans="1:7" s="205" customFormat="1" ht="18.75" customHeight="1">
      <c r="A666" s="133"/>
      <c r="B666" s="141"/>
      <c r="C666" s="985" t="s">
        <v>1448</v>
      </c>
      <c r="D666" s="136">
        <v>3731670</v>
      </c>
      <c r="E666" s="136">
        <v>3645908.24</v>
      </c>
      <c r="F666" s="137">
        <f t="shared" si="35"/>
        <v>97.70178606361227</v>
      </c>
      <c r="G666" s="204"/>
    </row>
    <row r="667" spans="1:7" s="97" customFormat="1" ht="18.75" customHeight="1">
      <c r="A667" s="244" t="s">
        <v>12</v>
      </c>
      <c r="B667" s="212"/>
      <c r="C667" s="213" t="s">
        <v>13</v>
      </c>
      <c r="D667" s="214">
        <f>SUM(D668,D673,D678,D688,D698,D703,D709,D713)</f>
        <v>16699554</v>
      </c>
      <c r="E667" s="214">
        <f>SUM(E668,E673,E678,E688,E698,E703,E709,E713)</f>
        <v>16624106.93</v>
      </c>
      <c r="F667" s="215">
        <f t="shared" si="33"/>
        <v>99.5482090719309</v>
      </c>
      <c r="G667" s="96"/>
    </row>
    <row r="668" spans="1:8" s="246" customFormat="1" ht="18.75" customHeight="1">
      <c r="A668" s="230"/>
      <c r="B668" s="217" t="s">
        <v>1752</v>
      </c>
      <c r="C668" s="218" t="s">
        <v>1753</v>
      </c>
      <c r="D668" s="106">
        <f>SUM(D669)</f>
        <v>942381</v>
      </c>
      <c r="E668" s="106">
        <f>E669</f>
        <v>942381.5399999999</v>
      </c>
      <c r="F668" s="219">
        <f t="shared" si="33"/>
        <v>100.00005730166461</v>
      </c>
      <c r="G668" s="204"/>
      <c r="H668" s="102"/>
    </row>
    <row r="669" spans="1:7" s="109" customFormat="1" ht="18.75" customHeight="1">
      <c r="A669" s="220"/>
      <c r="B669" s="221"/>
      <c r="C669" s="222" t="s">
        <v>1235</v>
      </c>
      <c r="D669" s="108">
        <f>SUM(D670)</f>
        <v>942381</v>
      </c>
      <c r="E669" s="108">
        <f>SUM(E670)</f>
        <v>942381.5399999999</v>
      </c>
      <c r="F669" s="223">
        <f t="shared" si="33"/>
        <v>100.00005730166461</v>
      </c>
      <c r="G669" s="226"/>
    </row>
    <row r="670" spans="1:7" s="102" customFormat="1" ht="18" customHeight="1">
      <c r="A670" s="224"/>
      <c r="B670" s="207"/>
      <c r="C670" s="225" t="s">
        <v>1582</v>
      </c>
      <c r="D670" s="209">
        <f>SUM(D671,D672)</f>
        <v>942381</v>
      </c>
      <c r="E670" s="209">
        <f>SUM(E671,E672)</f>
        <v>942381.5399999999</v>
      </c>
      <c r="F670" s="210">
        <f t="shared" si="33"/>
        <v>100.00005730166461</v>
      </c>
      <c r="G670" s="204"/>
    </row>
    <row r="671" spans="1:7" s="205" customFormat="1" ht="18.75" customHeight="1">
      <c r="A671" s="199"/>
      <c r="B671" s="200"/>
      <c r="C671" s="201" t="s">
        <v>1714</v>
      </c>
      <c r="D671" s="202">
        <v>811463</v>
      </c>
      <c r="E671" s="202">
        <v>811463.34</v>
      </c>
      <c r="F671" s="203">
        <f t="shared" si="33"/>
        <v>100.00004189963066</v>
      </c>
      <c r="G671" s="204"/>
    </row>
    <row r="672" spans="1:7" s="205" customFormat="1" ht="18.75" customHeight="1">
      <c r="A672" s="199"/>
      <c r="B672" s="200"/>
      <c r="C672" s="201" t="s">
        <v>1583</v>
      </c>
      <c r="D672" s="202">
        <v>130918</v>
      </c>
      <c r="E672" s="202">
        <v>130918.2</v>
      </c>
      <c r="F672" s="203">
        <f t="shared" si="33"/>
        <v>100.0001527673811</v>
      </c>
      <c r="G672" s="204"/>
    </row>
    <row r="673" spans="1:8" s="246" customFormat="1" ht="18.75" customHeight="1">
      <c r="A673" s="230"/>
      <c r="B673" s="217" t="s">
        <v>1759</v>
      </c>
      <c r="C673" s="218" t="s">
        <v>1760</v>
      </c>
      <c r="D673" s="106">
        <f>D674</f>
        <v>737789</v>
      </c>
      <c r="E673" s="106">
        <f>E674</f>
        <v>737789</v>
      </c>
      <c r="F673" s="219">
        <f t="shared" si="33"/>
        <v>100</v>
      </c>
      <c r="G673" s="204"/>
      <c r="H673" s="102"/>
    </row>
    <row r="674" spans="1:7" s="109" customFormat="1" ht="18.75" customHeight="1">
      <c r="A674" s="220"/>
      <c r="B674" s="221"/>
      <c r="C674" s="222" t="s">
        <v>1235</v>
      </c>
      <c r="D674" s="108">
        <f>SUM(D675)</f>
        <v>737789</v>
      </c>
      <c r="E674" s="108">
        <f>SUM(E675)</f>
        <v>737789</v>
      </c>
      <c r="F674" s="223">
        <f t="shared" si="33"/>
        <v>100</v>
      </c>
      <c r="G674" s="226"/>
    </row>
    <row r="675" spans="1:7" s="102" customFormat="1" ht="18" customHeight="1">
      <c r="A675" s="224"/>
      <c r="B675" s="207"/>
      <c r="C675" s="225" t="s">
        <v>1582</v>
      </c>
      <c r="D675" s="209">
        <f>SUM(D676,D677)</f>
        <v>737789</v>
      </c>
      <c r="E675" s="209">
        <f>SUM(E676,E677)</f>
        <v>737789</v>
      </c>
      <c r="F675" s="210">
        <f t="shared" si="33"/>
        <v>100</v>
      </c>
      <c r="G675" s="204"/>
    </row>
    <row r="676" spans="1:7" s="205" customFormat="1" ht="18.75" customHeight="1">
      <c r="A676" s="199"/>
      <c r="B676" s="200"/>
      <c r="C676" s="201" t="s">
        <v>1714</v>
      </c>
      <c r="D676" s="202">
        <v>659018</v>
      </c>
      <c r="E676" s="202">
        <v>659018.35</v>
      </c>
      <c r="F676" s="203">
        <f t="shared" si="33"/>
        <v>100.00005310932328</v>
      </c>
      <c r="G676" s="204"/>
    </row>
    <row r="677" spans="1:7" s="205" customFormat="1" ht="18.75" customHeight="1">
      <c r="A677" s="199"/>
      <c r="B677" s="200"/>
      <c r="C677" s="201" t="s">
        <v>1583</v>
      </c>
      <c r="D677" s="202">
        <v>78771</v>
      </c>
      <c r="E677" s="202">
        <v>78770.65</v>
      </c>
      <c r="F677" s="203">
        <f t="shared" si="33"/>
        <v>99.99955567404247</v>
      </c>
      <c r="G677" s="204"/>
    </row>
    <row r="678" spans="1:8" s="246" customFormat="1" ht="18.75" customHeight="1">
      <c r="A678" s="230"/>
      <c r="B678" s="217" t="s">
        <v>18</v>
      </c>
      <c r="C678" s="218" t="s">
        <v>1762</v>
      </c>
      <c r="D678" s="106">
        <f>SUM(D679,D685)</f>
        <v>6626514</v>
      </c>
      <c r="E678" s="106">
        <f>SUM(E679,E685)</f>
        <v>6551069.159999999</v>
      </c>
      <c r="F678" s="219">
        <f t="shared" si="33"/>
        <v>98.86147014855774</v>
      </c>
      <c r="G678" s="204"/>
      <c r="H678" s="102"/>
    </row>
    <row r="679" spans="1:7" s="109" customFormat="1" ht="18.75" customHeight="1">
      <c r="A679" s="220"/>
      <c r="B679" s="221"/>
      <c r="C679" s="222" t="s">
        <v>1235</v>
      </c>
      <c r="D679" s="108">
        <f>SUM(D680,D683,D684)</f>
        <v>5155178</v>
      </c>
      <c r="E679" s="108">
        <f>SUM(E680,E683,E684)</f>
        <v>5155052.35</v>
      </c>
      <c r="F679" s="223">
        <f t="shared" si="33"/>
        <v>99.99756264478161</v>
      </c>
      <c r="G679" s="226"/>
    </row>
    <row r="680" spans="1:7" s="102" customFormat="1" ht="18" customHeight="1">
      <c r="A680" s="224"/>
      <c r="B680" s="207"/>
      <c r="C680" s="225" t="s">
        <v>1582</v>
      </c>
      <c r="D680" s="209">
        <f>SUM(D681,D682)</f>
        <v>4003041</v>
      </c>
      <c r="E680" s="209">
        <f>SUM(E681,E682)</f>
        <v>4003040.59</v>
      </c>
      <c r="F680" s="210">
        <f t="shared" si="33"/>
        <v>99.99998975778664</v>
      </c>
      <c r="G680" s="204"/>
    </row>
    <row r="681" spans="1:7" s="205" customFormat="1" ht="18.75" customHeight="1">
      <c r="A681" s="199"/>
      <c r="B681" s="200"/>
      <c r="C681" s="201" t="s">
        <v>1714</v>
      </c>
      <c r="D681" s="202">
        <v>3290430</v>
      </c>
      <c r="E681" s="202">
        <v>3290428.94</v>
      </c>
      <c r="F681" s="203">
        <f t="shared" si="33"/>
        <v>99.99996778536544</v>
      </c>
      <c r="G681" s="204"/>
    </row>
    <row r="682" spans="1:7" s="205" customFormat="1" ht="18.75" customHeight="1">
      <c r="A682" s="199"/>
      <c r="B682" s="200"/>
      <c r="C682" s="201" t="s">
        <v>1583</v>
      </c>
      <c r="D682" s="202">
        <v>712611</v>
      </c>
      <c r="E682" s="202">
        <v>712611.65</v>
      </c>
      <c r="F682" s="203">
        <f t="shared" si="33"/>
        <v>100.00009121386002</v>
      </c>
      <c r="G682" s="204"/>
    </row>
    <row r="683" spans="1:7" s="102" customFormat="1" ht="18.75" customHeight="1">
      <c r="A683" s="206"/>
      <c r="B683" s="207"/>
      <c r="C683" s="225" t="s">
        <v>1584</v>
      </c>
      <c r="D683" s="209">
        <v>1148348</v>
      </c>
      <c r="E683" s="209">
        <v>1148222.96</v>
      </c>
      <c r="F683" s="210">
        <f t="shared" si="33"/>
        <v>99.98911131468857</v>
      </c>
      <c r="G683" s="227"/>
    </row>
    <row r="684" spans="1:7" s="102" customFormat="1" ht="18.75" customHeight="1">
      <c r="A684" s="206"/>
      <c r="B684" s="207"/>
      <c r="C684" s="208" t="s">
        <v>1588</v>
      </c>
      <c r="D684" s="209">
        <v>3789</v>
      </c>
      <c r="E684" s="209">
        <v>3788.8</v>
      </c>
      <c r="F684" s="210">
        <f t="shared" si="33"/>
        <v>99.99472156241754</v>
      </c>
      <c r="G684" s="204"/>
    </row>
    <row r="685" spans="1:7" s="109" customFormat="1" ht="18.75" customHeight="1">
      <c r="A685" s="220"/>
      <c r="B685" s="221"/>
      <c r="C685" s="222" t="s">
        <v>1585</v>
      </c>
      <c r="D685" s="108">
        <f>SUM(D686,D687)</f>
        <v>1471336</v>
      </c>
      <c r="E685" s="108">
        <f>SUM(E686,E687)</f>
        <v>1396016.8099999998</v>
      </c>
      <c r="F685" s="223">
        <f t="shared" si="33"/>
        <v>94.88089804096413</v>
      </c>
      <c r="G685" s="226"/>
    </row>
    <row r="686" spans="1:7" s="102" customFormat="1" ht="28.5" customHeight="1">
      <c r="A686" s="224"/>
      <c r="B686" s="207"/>
      <c r="C686" s="225" t="s">
        <v>293</v>
      </c>
      <c r="D686" s="209">
        <v>57951</v>
      </c>
      <c r="E686" s="209">
        <v>57950.9</v>
      </c>
      <c r="F686" s="210">
        <f t="shared" si="33"/>
        <v>99.9998274404238</v>
      </c>
      <c r="G686" s="227"/>
    </row>
    <row r="687" spans="1:7" s="102" customFormat="1" ht="22.5" customHeight="1">
      <c r="A687" s="206"/>
      <c r="B687" s="207"/>
      <c r="C687" s="56" t="s">
        <v>1596</v>
      </c>
      <c r="D687" s="9">
        <v>1413385</v>
      </c>
      <c r="E687" s="9">
        <v>1338065.91</v>
      </c>
      <c r="F687" s="46">
        <f>E687/D687*100</f>
        <v>94.67101391340647</v>
      </c>
      <c r="G687" s="227"/>
    </row>
    <row r="688" spans="1:8" s="246" customFormat="1" ht="18.75" customHeight="1">
      <c r="A688" s="230"/>
      <c r="B688" s="217" t="s">
        <v>19</v>
      </c>
      <c r="C688" s="218" t="s">
        <v>20</v>
      </c>
      <c r="D688" s="106">
        <f>SUM(D689,D696)</f>
        <v>7486095</v>
      </c>
      <c r="E688" s="106">
        <f>SUM(E689,E696)</f>
        <v>7486093.069999999</v>
      </c>
      <c r="F688" s="219">
        <f t="shared" si="33"/>
        <v>99.99997421886843</v>
      </c>
      <c r="G688" s="204"/>
      <c r="H688" s="102"/>
    </row>
    <row r="689" spans="1:7" s="109" customFormat="1" ht="18.75" customHeight="1">
      <c r="A689" s="220"/>
      <c r="B689" s="221"/>
      <c r="C689" s="222" t="s">
        <v>1235</v>
      </c>
      <c r="D689" s="108">
        <f>SUM(D690,D693,D694,D695)</f>
        <v>7405176</v>
      </c>
      <c r="E689" s="108">
        <f>SUM(E690,E693,E694,E695)</f>
        <v>7405174.789999999</v>
      </c>
      <c r="F689" s="223">
        <f t="shared" si="33"/>
        <v>99.99998366007775</v>
      </c>
      <c r="G689" s="226"/>
    </row>
    <row r="690" spans="1:7" s="102" customFormat="1" ht="18" customHeight="1">
      <c r="A690" s="224"/>
      <c r="B690" s="207"/>
      <c r="C690" s="225" t="s">
        <v>1582</v>
      </c>
      <c r="D690" s="209">
        <f>SUM(D691,D692)</f>
        <v>6730859</v>
      </c>
      <c r="E690" s="209">
        <f>SUM(E691,E692)</f>
        <v>6730858.77</v>
      </c>
      <c r="F690" s="210">
        <f t="shared" si="33"/>
        <v>99.99999658290271</v>
      </c>
      <c r="G690" s="204"/>
    </row>
    <row r="691" spans="1:7" s="205" customFormat="1" ht="18.75" customHeight="1">
      <c r="A691" s="199"/>
      <c r="B691" s="200"/>
      <c r="C691" s="201" t="s">
        <v>1714</v>
      </c>
      <c r="D691" s="202">
        <v>5462295</v>
      </c>
      <c r="E691" s="202">
        <v>5462294.34</v>
      </c>
      <c r="F691" s="203">
        <f t="shared" si="33"/>
        <v>99.99998791716668</v>
      </c>
      <c r="G691" s="204"/>
    </row>
    <row r="692" spans="1:7" s="205" customFormat="1" ht="18.75" customHeight="1">
      <c r="A692" s="199"/>
      <c r="B692" s="200"/>
      <c r="C692" s="201" t="s">
        <v>1583</v>
      </c>
      <c r="D692" s="202">
        <v>1268564</v>
      </c>
      <c r="E692" s="202">
        <v>1268564.43</v>
      </c>
      <c r="F692" s="203">
        <f t="shared" si="33"/>
        <v>100.00003389659489</v>
      </c>
      <c r="G692" s="204"/>
    </row>
    <row r="693" spans="1:7" s="102" customFormat="1" ht="18.75" customHeight="1">
      <c r="A693" s="206"/>
      <c r="B693" s="207"/>
      <c r="C693" s="225" t="s">
        <v>1584</v>
      </c>
      <c r="D693" s="209">
        <v>672817</v>
      </c>
      <c r="E693" s="209">
        <v>672816.02</v>
      </c>
      <c r="F693" s="210">
        <f t="shared" si="33"/>
        <v>99.99985434375172</v>
      </c>
      <c r="G693" s="227"/>
    </row>
    <row r="694" spans="1:7" s="102" customFormat="1" ht="18.75" customHeight="1">
      <c r="A694" s="206"/>
      <c r="B694" s="207"/>
      <c r="C694" s="208" t="s">
        <v>1588</v>
      </c>
      <c r="D694" s="209">
        <v>1500</v>
      </c>
      <c r="E694" s="209">
        <v>1500</v>
      </c>
      <c r="F694" s="210">
        <f t="shared" si="33"/>
        <v>100</v>
      </c>
      <c r="G694" s="204"/>
    </row>
    <row r="695" spans="1:7" s="11" customFormat="1" ht="18.75" customHeight="1" hidden="1">
      <c r="A695" s="57"/>
      <c r="B695" s="45"/>
      <c r="C695" s="56" t="s">
        <v>1596</v>
      </c>
      <c r="D695" s="9">
        <v>0</v>
      </c>
      <c r="E695" s="9">
        <v>0</v>
      </c>
      <c r="F695" s="46" t="e">
        <f>E695/D695*100</f>
        <v>#DIV/0!</v>
      </c>
      <c r="G695" s="48"/>
    </row>
    <row r="696" spans="1:7" s="109" customFormat="1" ht="18.75" customHeight="1">
      <c r="A696" s="220"/>
      <c r="B696" s="221"/>
      <c r="C696" s="222" t="s">
        <v>1585</v>
      </c>
      <c r="D696" s="108">
        <f>SUM(D697)</f>
        <v>80919</v>
      </c>
      <c r="E696" s="108">
        <f>SUM(E697)</f>
        <v>80918.28</v>
      </c>
      <c r="F696" s="223">
        <f>E696/D696*100</f>
        <v>99.99911022133244</v>
      </c>
      <c r="G696" s="226"/>
    </row>
    <row r="697" spans="1:7" s="102" customFormat="1" ht="28.5" customHeight="1">
      <c r="A697" s="224"/>
      <c r="B697" s="207"/>
      <c r="C697" s="225" t="s">
        <v>293</v>
      </c>
      <c r="D697" s="209">
        <v>80919</v>
      </c>
      <c r="E697" s="209">
        <v>80918.28</v>
      </c>
      <c r="F697" s="210">
        <f>E697/D697*100</f>
        <v>99.99911022133244</v>
      </c>
      <c r="G697" s="227"/>
    </row>
    <row r="698" spans="1:8" s="246" customFormat="1" ht="18.75" customHeight="1">
      <c r="A698" s="230"/>
      <c r="B698" s="217" t="s">
        <v>1763</v>
      </c>
      <c r="C698" s="218" t="s">
        <v>1764</v>
      </c>
      <c r="D698" s="106">
        <f>SUM(D699)</f>
        <v>591086</v>
      </c>
      <c r="E698" s="106">
        <f>SUM(E699)</f>
        <v>591085.66</v>
      </c>
      <c r="F698" s="219">
        <f t="shared" si="33"/>
        <v>99.99994247875944</v>
      </c>
      <c r="G698" s="204"/>
      <c r="H698" s="102"/>
    </row>
    <row r="699" spans="1:7" s="109" customFormat="1" ht="18.75" customHeight="1">
      <c r="A699" s="220"/>
      <c r="B699" s="221"/>
      <c r="C699" s="222" t="s">
        <v>1235</v>
      </c>
      <c r="D699" s="108">
        <f>SUM(D700)</f>
        <v>591086</v>
      </c>
      <c r="E699" s="108">
        <f>SUM(E700)</f>
        <v>591085.66</v>
      </c>
      <c r="F699" s="223">
        <f t="shared" si="33"/>
        <v>99.99994247875944</v>
      </c>
      <c r="G699" s="226"/>
    </row>
    <row r="700" spans="1:7" s="102" customFormat="1" ht="18" customHeight="1">
      <c r="A700" s="224"/>
      <c r="B700" s="207"/>
      <c r="C700" s="225" t="s">
        <v>1582</v>
      </c>
      <c r="D700" s="209">
        <f>SUM(D701,D702)</f>
        <v>591086</v>
      </c>
      <c r="E700" s="209">
        <f>SUM(E701,E702)</f>
        <v>591085.66</v>
      </c>
      <c r="F700" s="210">
        <f t="shared" si="33"/>
        <v>99.99994247875944</v>
      </c>
      <c r="G700" s="204"/>
    </row>
    <row r="701" spans="1:7" s="205" customFormat="1" ht="18.75" customHeight="1">
      <c r="A701" s="199"/>
      <c r="B701" s="200"/>
      <c r="C701" s="201" t="s">
        <v>1714</v>
      </c>
      <c r="D701" s="202">
        <v>514150</v>
      </c>
      <c r="E701" s="202">
        <v>514150.18</v>
      </c>
      <c r="F701" s="203">
        <f t="shared" si="33"/>
        <v>100.00003500923856</v>
      </c>
      <c r="G701" s="204"/>
    </row>
    <row r="702" spans="1:7" s="205" customFormat="1" ht="18.75" customHeight="1">
      <c r="A702" s="199"/>
      <c r="B702" s="200"/>
      <c r="C702" s="201" t="s">
        <v>1583</v>
      </c>
      <c r="D702" s="202">
        <v>76936</v>
      </c>
      <c r="E702" s="202">
        <v>76935.48</v>
      </c>
      <c r="F702" s="203">
        <f t="shared" si="33"/>
        <v>99.99932411354891</v>
      </c>
      <c r="G702" s="204"/>
    </row>
    <row r="703" spans="1:8" s="246" customFormat="1" ht="28.5" customHeight="1">
      <c r="A703" s="230"/>
      <c r="B703" s="253" t="s">
        <v>1765</v>
      </c>
      <c r="C703" s="107" t="s">
        <v>1766</v>
      </c>
      <c r="D703" s="106">
        <f>D704</f>
        <v>249664</v>
      </c>
      <c r="E703" s="106">
        <f>E704</f>
        <v>249664.84999999998</v>
      </c>
      <c r="F703" s="219">
        <f t="shared" si="33"/>
        <v>100.00034045757498</v>
      </c>
      <c r="G703" s="204"/>
      <c r="H703" s="102"/>
    </row>
    <row r="704" spans="1:7" s="109" customFormat="1" ht="18.75" customHeight="1">
      <c r="A704" s="220"/>
      <c r="B704" s="221"/>
      <c r="C704" s="222" t="s">
        <v>1235</v>
      </c>
      <c r="D704" s="108">
        <f>SUM(D705,D708)</f>
        <v>249664</v>
      </c>
      <c r="E704" s="108">
        <f>SUM(E705,E708)</f>
        <v>249664.84999999998</v>
      </c>
      <c r="F704" s="223">
        <f t="shared" si="33"/>
        <v>100.00034045757498</v>
      </c>
      <c r="G704" s="226"/>
    </row>
    <row r="705" spans="1:7" s="102" customFormat="1" ht="18" customHeight="1">
      <c r="A705" s="224"/>
      <c r="B705" s="207"/>
      <c r="C705" s="225" t="s">
        <v>1582</v>
      </c>
      <c r="D705" s="209">
        <f>SUM(D706,D707)</f>
        <v>248664</v>
      </c>
      <c r="E705" s="209">
        <f>SUM(E706,E707)</f>
        <v>248664.84999999998</v>
      </c>
      <c r="F705" s="210">
        <f t="shared" si="33"/>
        <v>100.00034182672199</v>
      </c>
      <c r="G705" s="204"/>
    </row>
    <row r="706" spans="1:7" s="205" customFormat="1" ht="18.75" customHeight="1">
      <c r="A706" s="199"/>
      <c r="B706" s="200"/>
      <c r="C706" s="201" t="s">
        <v>1714</v>
      </c>
      <c r="D706" s="202">
        <v>139263</v>
      </c>
      <c r="E706" s="202">
        <v>139263.81</v>
      </c>
      <c r="F706" s="203">
        <f t="shared" si="33"/>
        <v>100.0005816333125</v>
      </c>
      <c r="G706" s="204"/>
    </row>
    <row r="707" spans="1:7" s="205" customFormat="1" ht="18.75" customHeight="1">
      <c r="A707" s="199"/>
      <c r="B707" s="200"/>
      <c r="C707" s="201" t="s">
        <v>1583</v>
      </c>
      <c r="D707" s="202">
        <v>109401</v>
      </c>
      <c r="E707" s="202">
        <v>109401.04</v>
      </c>
      <c r="F707" s="203">
        <f t="shared" si="33"/>
        <v>100.00003656273708</v>
      </c>
      <c r="G707" s="204"/>
    </row>
    <row r="708" spans="1:7" s="102" customFormat="1" ht="18.75" customHeight="1">
      <c r="A708" s="206"/>
      <c r="B708" s="207"/>
      <c r="C708" s="208" t="s">
        <v>1588</v>
      </c>
      <c r="D708" s="209">
        <v>1000</v>
      </c>
      <c r="E708" s="209">
        <v>1000</v>
      </c>
      <c r="F708" s="210">
        <f t="shared" si="33"/>
        <v>100</v>
      </c>
      <c r="G708" s="204"/>
    </row>
    <row r="709" spans="1:7" s="97" customFormat="1" ht="18.75" customHeight="1">
      <c r="A709" s="230"/>
      <c r="B709" s="217" t="s">
        <v>1767</v>
      </c>
      <c r="C709" s="218" t="s">
        <v>1768</v>
      </c>
      <c r="D709" s="106">
        <f>D712</f>
        <v>36875</v>
      </c>
      <c r="E709" s="106">
        <f>E712</f>
        <v>36874.98</v>
      </c>
      <c r="F709" s="219">
        <f aca="true" t="shared" si="36" ref="F709:F721">E709/D709*100</f>
        <v>99.99994576271187</v>
      </c>
      <c r="G709" s="96"/>
    </row>
    <row r="710" spans="1:7" s="109" customFormat="1" ht="18.75" customHeight="1">
      <c r="A710" s="220"/>
      <c r="B710" s="221"/>
      <c r="C710" s="222" t="s">
        <v>1235</v>
      </c>
      <c r="D710" s="108">
        <f>SUM(D711)</f>
        <v>36875</v>
      </c>
      <c r="E710" s="108">
        <f>SUM(E711)</f>
        <v>36874.98</v>
      </c>
      <c r="F710" s="223">
        <f t="shared" si="36"/>
        <v>99.99994576271187</v>
      </c>
      <c r="G710" s="226"/>
    </row>
    <row r="711" spans="1:7" s="102" customFormat="1" ht="18" customHeight="1">
      <c r="A711" s="224"/>
      <c r="B711" s="207"/>
      <c r="C711" s="225" t="s">
        <v>1582</v>
      </c>
      <c r="D711" s="209">
        <f>SUM(D712)</f>
        <v>36875</v>
      </c>
      <c r="E711" s="209">
        <f>SUM(E712)</f>
        <v>36874.98</v>
      </c>
      <c r="F711" s="210">
        <f>E711/D711*100</f>
        <v>99.99994576271187</v>
      </c>
      <c r="G711" s="204"/>
    </row>
    <row r="712" spans="1:7" s="205" customFormat="1" ht="18.75" customHeight="1">
      <c r="A712" s="199"/>
      <c r="B712" s="200"/>
      <c r="C712" s="201" t="s">
        <v>1583</v>
      </c>
      <c r="D712" s="202">
        <v>36875</v>
      </c>
      <c r="E712" s="202">
        <v>36874.98</v>
      </c>
      <c r="F712" s="203">
        <f>E712/D712*100</f>
        <v>99.99994576271187</v>
      </c>
      <c r="G712" s="204"/>
    </row>
    <row r="713" spans="1:8" s="246" customFormat="1" ht="18.75" customHeight="1">
      <c r="A713" s="230"/>
      <c r="B713" s="217" t="s">
        <v>1769</v>
      </c>
      <c r="C713" s="218" t="s">
        <v>215</v>
      </c>
      <c r="D713" s="106">
        <f>SUM(D714)</f>
        <v>29150</v>
      </c>
      <c r="E713" s="106">
        <f>SUM(E714)</f>
        <v>29148.67</v>
      </c>
      <c r="F713" s="219">
        <f t="shared" si="36"/>
        <v>99.99543739279588</v>
      </c>
      <c r="G713" s="204"/>
      <c r="H713" s="102"/>
    </row>
    <row r="714" spans="1:7" s="109" customFormat="1" ht="18.75" customHeight="1">
      <c r="A714" s="220"/>
      <c r="B714" s="221"/>
      <c r="C714" s="222" t="s">
        <v>1235</v>
      </c>
      <c r="D714" s="108">
        <f>SUM(D715,D718)</f>
        <v>29150</v>
      </c>
      <c r="E714" s="108">
        <f>SUM(E715,E718)</f>
        <v>29148.67</v>
      </c>
      <c r="F714" s="223">
        <f t="shared" si="36"/>
        <v>99.99543739279588</v>
      </c>
      <c r="G714" s="226"/>
    </row>
    <row r="715" spans="1:7" s="102" customFormat="1" ht="18" customHeight="1">
      <c r="A715" s="224"/>
      <c r="B715" s="207"/>
      <c r="C715" s="225" t="s">
        <v>1582</v>
      </c>
      <c r="D715" s="209">
        <f>SUM(D716,D717)</f>
        <v>13746</v>
      </c>
      <c r="E715" s="209">
        <f>SUM(E716,E717)</f>
        <v>13744.45</v>
      </c>
      <c r="F715" s="210">
        <f>E715/D715*100</f>
        <v>99.98872399243417</v>
      </c>
      <c r="G715" s="204"/>
    </row>
    <row r="716" spans="1:7" s="205" customFormat="1" ht="18.75" customHeight="1">
      <c r="A716" s="199"/>
      <c r="B716" s="200"/>
      <c r="C716" s="201" t="s">
        <v>1714</v>
      </c>
      <c r="D716" s="202">
        <v>13746</v>
      </c>
      <c r="E716" s="202">
        <v>13744.45</v>
      </c>
      <c r="F716" s="203">
        <f>E716/D716*100</f>
        <v>99.98872399243417</v>
      </c>
      <c r="G716" s="204"/>
    </row>
    <row r="717" spans="1:7" s="205" customFormat="1" ht="18.75" customHeight="1" hidden="1">
      <c r="A717" s="199"/>
      <c r="B717" s="200"/>
      <c r="C717" s="201" t="s">
        <v>1583</v>
      </c>
      <c r="D717" s="202"/>
      <c r="E717" s="202"/>
      <c r="F717" s="203" t="e">
        <f>E717/D717*100</f>
        <v>#DIV/0!</v>
      </c>
      <c r="G717" s="204"/>
    </row>
    <row r="718" spans="1:7" s="102" customFormat="1" ht="18.75" customHeight="1">
      <c r="A718" s="206"/>
      <c r="B718" s="207"/>
      <c r="C718" s="208" t="s">
        <v>1588</v>
      </c>
      <c r="D718" s="209">
        <v>15404</v>
      </c>
      <c r="E718" s="209">
        <v>15404.22</v>
      </c>
      <c r="F718" s="210">
        <f>E718/D718*100</f>
        <v>100.0014282004674</v>
      </c>
      <c r="G718" s="204"/>
    </row>
    <row r="719" spans="1:10" s="97" customFormat="1" ht="18.75" customHeight="1">
      <c r="A719" s="244" t="s">
        <v>21</v>
      </c>
      <c r="B719" s="212"/>
      <c r="C719" s="213" t="s">
        <v>22</v>
      </c>
      <c r="D719" s="214">
        <f>SUM(D720,D728,D737,D742,D747)</f>
        <v>4873523</v>
      </c>
      <c r="E719" s="214">
        <f>SUM(E720,E728,E737,E742,E747)</f>
        <v>3818247.9299999997</v>
      </c>
      <c r="F719" s="215">
        <f t="shared" si="36"/>
        <v>78.34677152441878</v>
      </c>
      <c r="G719" s="96"/>
      <c r="I719" s="110"/>
      <c r="J719" s="110"/>
    </row>
    <row r="720" spans="1:7" s="102" customFormat="1" ht="18.75" customHeight="1">
      <c r="A720" s="230"/>
      <c r="B720" s="217" t="s">
        <v>1770</v>
      </c>
      <c r="C720" s="218" t="s">
        <v>1771</v>
      </c>
      <c r="D720" s="106">
        <f>SUM(D721,D727)</f>
        <v>3614290</v>
      </c>
      <c r="E720" s="106">
        <f>SUM(E721,E727)</f>
        <v>2570826.46</v>
      </c>
      <c r="F720" s="219">
        <f t="shared" si="36"/>
        <v>71.12950150651996</v>
      </c>
      <c r="G720" s="204"/>
    </row>
    <row r="721" spans="1:7" s="109" customFormat="1" ht="18.75" customHeight="1">
      <c r="A721" s="220"/>
      <c r="B721" s="221"/>
      <c r="C721" s="222" t="s">
        <v>1235</v>
      </c>
      <c r="D721" s="108">
        <f>SUM(D722,D725)</f>
        <v>2754890</v>
      </c>
      <c r="E721" s="108">
        <f>SUM(E722,E725)</f>
        <v>1728680.55</v>
      </c>
      <c r="F721" s="223">
        <f t="shared" si="36"/>
        <v>62.74953083426199</v>
      </c>
      <c r="G721" s="226"/>
    </row>
    <row r="722" spans="1:7" s="102" customFormat="1" ht="18" customHeight="1">
      <c r="A722" s="224"/>
      <c r="B722" s="207"/>
      <c r="C722" s="225" t="s">
        <v>1582</v>
      </c>
      <c r="D722" s="209">
        <f>SUM(D723,D724)</f>
        <v>2719890</v>
      </c>
      <c r="E722" s="209">
        <f>SUM(E723,E724)</f>
        <v>1693680.55</v>
      </c>
      <c r="F722" s="210">
        <f>E722/D722*100</f>
        <v>62.27018555897481</v>
      </c>
      <c r="G722" s="204"/>
    </row>
    <row r="723" spans="1:7" s="488" customFormat="1" ht="18.75" customHeight="1">
      <c r="A723" s="996"/>
      <c r="B723" s="997"/>
      <c r="C723" s="998" t="s">
        <v>1714</v>
      </c>
      <c r="D723" s="999">
        <v>1437</v>
      </c>
      <c r="E723" s="999">
        <v>1435.68</v>
      </c>
      <c r="F723" s="1000">
        <f>E723/D723*100</f>
        <v>99.90814196242171</v>
      </c>
      <c r="G723" s="1001"/>
    </row>
    <row r="724" spans="1:7" s="205" customFormat="1" ht="18.75" customHeight="1">
      <c r="A724" s="199"/>
      <c r="B724" s="200"/>
      <c r="C724" s="201" t="s">
        <v>1583</v>
      </c>
      <c r="D724" s="202">
        <v>2718453</v>
      </c>
      <c r="E724" s="202">
        <v>1692244.87</v>
      </c>
      <c r="F724" s="203">
        <f>E724/D724*100</f>
        <v>62.250289778782275</v>
      </c>
      <c r="G724" s="204"/>
    </row>
    <row r="725" spans="1:7" s="102" customFormat="1" ht="18.75" customHeight="1">
      <c r="A725" s="206"/>
      <c r="B725" s="207"/>
      <c r="C725" s="225" t="s">
        <v>1584</v>
      </c>
      <c r="D725" s="209">
        <v>35000</v>
      </c>
      <c r="E725" s="209">
        <v>35000</v>
      </c>
      <c r="F725" s="210">
        <f aca="true" t="shared" si="37" ref="F725:F734">E725/D725*100</f>
        <v>100</v>
      </c>
      <c r="G725" s="227"/>
    </row>
    <row r="726" spans="1:7" s="109" customFormat="1" ht="18.75" customHeight="1">
      <c r="A726" s="220"/>
      <c r="B726" s="221"/>
      <c r="C726" s="222" t="s">
        <v>1585</v>
      </c>
      <c r="D726" s="108">
        <f>SUM(D727)</f>
        <v>859400</v>
      </c>
      <c r="E726" s="108">
        <f>SUM(E727)</f>
        <v>842145.91</v>
      </c>
      <c r="F726" s="223">
        <f t="shared" si="37"/>
        <v>97.99230975098907</v>
      </c>
      <c r="G726" s="226"/>
    </row>
    <row r="727" spans="1:7" s="102" customFormat="1" ht="28.5" customHeight="1">
      <c r="A727" s="224"/>
      <c r="B727" s="207"/>
      <c r="C727" s="225" t="s">
        <v>293</v>
      </c>
      <c r="D727" s="209">
        <v>859400</v>
      </c>
      <c r="E727" s="209">
        <v>842145.91</v>
      </c>
      <c r="F727" s="210">
        <f t="shared" si="37"/>
        <v>97.99230975098907</v>
      </c>
      <c r="G727" s="227"/>
    </row>
    <row r="728" spans="1:10" s="97" customFormat="1" ht="27" customHeight="1">
      <c r="A728" s="230"/>
      <c r="B728" s="217" t="s">
        <v>1772</v>
      </c>
      <c r="C728" s="107" t="s">
        <v>1775</v>
      </c>
      <c r="D728" s="106">
        <f>SUM(D729,D734)</f>
        <v>238733</v>
      </c>
      <c r="E728" s="106">
        <f>SUM(E729,E734)</f>
        <v>237744.67</v>
      </c>
      <c r="F728" s="219">
        <f t="shared" si="37"/>
        <v>99.58601031277621</v>
      </c>
      <c r="G728" s="96"/>
      <c r="I728" s="110"/>
      <c r="J728" s="110"/>
    </row>
    <row r="729" spans="1:7" s="109" customFormat="1" ht="18.75" customHeight="1">
      <c r="A729" s="220"/>
      <c r="B729" s="221"/>
      <c r="C729" s="222" t="s">
        <v>1235</v>
      </c>
      <c r="D729" s="108">
        <f>SUM(D730,D733)</f>
        <v>238733</v>
      </c>
      <c r="E729" s="108">
        <f>SUM(E730,E733)</f>
        <v>237744.67</v>
      </c>
      <c r="F729" s="223">
        <f t="shared" si="37"/>
        <v>99.58601031277621</v>
      </c>
      <c r="G729" s="226"/>
    </row>
    <row r="730" spans="1:7" s="102" customFormat="1" ht="18" customHeight="1">
      <c r="A730" s="224"/>
      <c r="B730" s="207"/>
      <c r="C730" s="225" t="s">
        <v>1582</v>
      </c>
      <c r="D730" s="209">
        <f>SUM(D731,D732)</f>
        <v>208692</v>
      </c>
      <c r="E730" s="209">
        <f>SUM(E731,E732)</f>
        <v>208690.67</v>
      </c>
      <c r="F730" s="210">
        <f t="shared" si="37"/>
        <v>99.99936269718054</v>
      </c>
      <c r="G730" s="204"/>
    </row>
    <row r="731" spans="1:7" s="205" customFormat="1" ht="18.75" customHeight="1" hidden="1">
      <c r="A731" s="199"/>
      <c r="B731" s="200"/>
      <c r="C731" s="201" t="s">
        <v>1714</v>
      </c>
      <c r="D731" s="202">
        <v>0</v>
      </c>
      <c r="E731" s="202">
        <v>0</v>
      </c>
      <c r="F731" s="203" t="e">
        <f t="shared" si="37"/>
        <v>#DIV/0!</v>
      </c>
      <c r="G731" s="204"/>
    </row>
    <row r="732" spans="1:7" s="205" customFormat="1" ht="18.75" customHeight="1">
      <c r="A732" s="199"/>
      <c r="B732" s="200"/>
      <c r="C732" s="201" t="s">
        <v>1583</v>
      </c>
      <c r="D732" s="202">
        <v>208692</v>
      </c>
      <c r="E732" s="202">
        <v>208690.67</v>
      </c>
      <c r="F732" s="203">
        <f t="shared" si="37"/>
        <v>99.99936269718054</v>
      </c>
      <c r="G732" s="204"/>
    </row>
    <row r="733" spans="1:7" s="102" customFormat="1" ht="18.75" customHeight="1">
      <c r="A733" s="206"/>
      <c r="B733" s="207"/>
      <c r="C733" s="225" t="s">
        <v>1584</v>
      </c>
      <c r="D733" s="209">
        <v>30041</v>
      </c>
      <c r="E733" s="209">
        <v>29054</v>
      </c>
      <c r="F733" s="210">
        <f t="shared" si="37"/>
        <v>96.71449019673113</v>
      </c>
      <c r="G733" s="227"/>
    </row>
    <row r="734" spans="1:7" s="109" customFormat="1" ht="18.75" customHeight="1" hidden="1">
      <c r="A734" s="220"/>
      <c r="B734" s="221"/>
      <c r="C734" s="222" t="s">
        <v>1585</v>
      </c>
      <c r="D734" s="108">
        <f>SUM(D735,D736)</f>
        <v>0</v>
      </c>
      <c r="E734" s="108">
        <f>SUM(E735,E736)</f>
        <v>0</v>
      </c>
      <c r="F734" s="223" t="e">
        <f t="shared" si="37"/>
        <v>#DIV/0!</v>
      </c>
      <c r="G734" s="226"/>
    </row>
    <row r="735" spans="1:7" s="102" customFormat="1" ht="25.5" customHeight="1" hidden="1">
      <c r="A735" s="224"/>
      <c r="B735" s="207"/>
      <c r="C735" s="225" t="s">
        <v>293</v>
      </c>
      <c r="D735" s="209">
        <v>0</v>
      </c>
      <c r="E735" s="209">
        <v>0</v>
      </c>
      <c r="F735" s="210" t="e">
        <f aca="true" t="shared" si="38" ref="F735:F741">E735/D735*100</f>
        <v>#DIV/0!</v>
      </c>
      <c r="G735" s="227"/>
    </row>
    <row r="736" spans="1:7" s="11" customFormat="1" ht="18.75" customHeight="1" hidden="1">
      <c r="A736" s="44"/>
      <c r="B736" s="45"/>
      <c r="C736" s="10" t="s">
        <v>1593</v>
      </c>
      <c r="D736" s="9">
        <v>0</v>
      </c>
      <c r="E736" s="9">
        <v>0</v>
      </c>
      <c r="F736" s="46" t="e">
        <f t="shared" si="38"/>
        <v>#DIV/0!</v>
      </c>
      <c r="G736" s="58"/>
    </row>
    <row r="737" spans="1:10" s="1" customFormat="1" ht="18.75" customHeight="1">
      <c r="A737" s="59"/>
      <c r="B737" s="3" t="s">
        <v>1776</v>
      </c>
      <c r="C737" s="8" t="s">
        <v>759</v>
      </c>
      <c r="D737" s="2">
        <f aca="true" t="shared" si="39" ref="D737:E739">SUM(D738)</f>
        <v>85000</v>
      </c>
      <c r="E737" s="2">
        <f t="shared" si="39"/>
        <v>85000</v>
      </c>
      <c r="F737" s="39">
        <f t="shared" si="38"/>
        <v>100</v>
      </c>
      <c r="G737" s="5"/>
      <c r="I737" s="17"/>
      <c r="J737" s="17"/>
    </row>
    <row r="738" spans="1:7" s="7" customFormat="1" ht="18.75" customHeight="1">
      <c r="A738" s="40"/>
      <c r="B738" s="41"/>
      <c r="C738" s="42" t="s">
        <v>1235</v>
      </c>
      <c r="D738" s="6">
        <f>SUM(D741)</f>
        <v>85000</v>
      </c>
      <c r="E738" s="6">
        <f>SUM(E741)</f>
        <v>85000</v>
      </c>
      <c r="F738" s="43">
        <f t="shared" si="38"/>
        <v>100</v>
      </c>
      <c r="G738" s="47"/>
    </row>
    <row r="739" spans="1:7" s="11" customFormat="1" ht="18" customHeight="1" hidden="1">
      <c r="A739" s="44"/>
      <c r="B739" s="45"/>
      <c r="C739" s="10" t="s">
        <v>1582</v>
      </c>
      <c r="D739" s="9">
        <f t="shared" si="39"/>
        <v>0</v>
      </c>
      <c r="E739" s="9">
        <f t="shared" si="39"/>
        <v>0</v>
      </c>
      <c r="F739" s="46" t="e">
        <f t="shared" si="38"/>
        <v>#DIV/0!</v>
      </c>
      <c r="G739" s="48"/>
    </row>
    <row r="740" spans="1:7" s="54" customFormat="1" ht="18.75" customHeight="1" hidden="1">
      <c r="A740" s="49"/>
      <c r="B740" s="50"/>
      <c r="C740" s="51" t="s">
        <v>1583</v>
      </c>
      <c r="D740" s="52">
        <v>0</v>
      </c>
      <c r="E740" s="52">
        <v>0</v>
      </c>
      <c r="F740" s="53" t="e">
        <f t="shared" si="38"/>
        <v>#DIV/0!</v>
      </c>
      <c r="G740" s="48"/>
    </row>
    <row r="741" spans="1:7" s="54" customFormat="1" ht="18.75" customHeight="1">
      <c r="A741" s="55"/>
      <c r="B741" s="50"/>
      <c r="C741" s="225" t="s">
        <v>1584</v>
      </c>
      <c r="D741" s="209">
        <v>85000</v>
      </c>
      <c r="E741" s="209">
        <v>85000</v>
      </c>
      <c r="F741" s="210">
        <f t="shared" si="38"/>
        <v>100</v>
      </c>
      <c r="G741" s="48"/>
    </row>
    <row r="742" spans="1:8" s="246" customFormat="1" ht="40.5" customHeight="1">
      <c r="A742" s="230"/>
      <c r="B742" s="253" t="s">
        <v>1206</v>
      </c>
      <c r="C742" s="254" t="s">
        <v>1693</v>
      </c>
      <c r="D742" s="106">
        <f>D743</f>
        <v>935500</v>
      </c>
      <c r="E742" s="106">
        <f>E743</f>
        <v>924676.8</v>
      </c>
      <c r="F742" s="219">
        <f aca="true" t="shared" si="40" ref="F742:F754">E742/D742*100</f>
        <v>98.84305718866916</v>
      </c>
      <c r="G742" s="204"/>
      <c r="H742" s="102"/>
    </row>
    <row r="743" spans="1:7" s="109" customFormat="1" ht="18.75" customHeight="1">
      <c r="A743" s="220"/>
      <c r="B743" s="221"/>
      <c r="C743" s="222" t="s">
        <v>1235</v>
      </c>
      <c r="D743" s="108">
        <f>SUM(D744)</f>
        <v>935500</v>
      </c>
      <c r="E743" s="108">
        <f>SUM(E744)</f>
        <v>924676.8</v>
      </c>
      <c r="F743" s="223">
        <f t="shared" si="40"/>
        <v>98.84305718866916</v>
      </c>
      <c r="G743" s="226"/>
    </row>
    <row r="744" spans="1:7" s="102" customFormat="1" ht="18" customHeight="1">
      <c r="A744" s="224"/>
      <c r="B744" s="207"/>
      <c r="C744" s="225" t="s">
        <v>1582</v>
      </c>
      <c r="D744" s="209">
        <f>SUM(D745,D746)</f>
        <v>935500</v>
      </c>
      <c r="E744" s="209">
        <f>SUM(E745,E746)</f>
        <v>924676.8</v>
      </c>
      <c r="F744" s="210">
        <f t="shared" si="40"/>
        <v>98.84305718866916</v>
      </c>
      <c r="G744" s="204"/>
    </row>
    <row r="745" spans="1:7" s="205" customFormat="1" ht="18.75" customHeight="1">
      <c r="A745" s="199"/>
      <c r="B745" s="200"/>
      <c r="C745" s="201" t="s">
        <v>1714</v>
      </c>
      <c r="D745" s="202">
        <v>935500</v>
      </c>
      <c r="E745" s="202">
        <v>924676.8</v>
      </c>
      <c r="F745" s="203">
        <f t="shared" si="40"/>
        <v>98.84305718866916</v>
      </c>
      <c r="G745" s="204"/>
    </row>
    <row r="746" spans="1:7" s="205" customFormat="1" ht="18.75" customHeight="1" hidden="1">
      <c r="A746" s="199"/>
      <c r="B746" s="200"/>
      <c r="C746" s="201" t="s">
        <v>1583</v>
      </c>
      <c r="D746" s="202">
        <v>0</v>
      </c>
      <c r="E746" s="202">
        <v>0</v>
      </c>
      <c r="F746" s="203" t="e">
        <f t="shared" si="40"/>
        <v>#DIV/0!</v>
      </c>
      <c r="G746" s="204"/>
    </row>
    <row r="747" spans="1:7" s="97" customFormat="1" ht="18.75" customHeight="1" hidden="1">
      <c r="A747" s="230"/>
      <c r="B747" s="217" t="s">
        <v>764</v>
      </c>
      <c r="C747" s="218" t="s">
        <v>215</v>
      </c>
      <c r="D747" s="106">
        <f>SUM(D748)</f>
        <v>0</v>
      </c>
      <c r="E747" s="106">
        <f>SUM(E748)</f>
        <v>0</v>
      </c>
      <c r="F747" s="219" t="e">
        <f t="shared" si="40"/>
        <v>#DIV/0!</v>
      </c>
      <c r="G747" s="96"/>
    </row>
    <row r="748" spans="1:7" s="109" customFormat="1" ht="18.75" customHeight="1" hidden="1">
      <c r="A748" s="220"/>
      <c r="B748" s="221"/>
      <c r="C748" s="222" t="s">
        <v>1235</v>
      </c>
      <c r="D748" s="108">
        <f>SUM(D749)</f>
        <v>0</v>
      </c>
      <c r="E748" s="108">
        <f>SUM(E749)</f>
        <v>0</v>
      </c>
      <c r="F748" s="223" t="e">
        <f t="shared" si="40"/>
        <v>#DIV/0!</v>
      </c>
      <c r="G748" s="226"/>
    </row>
    <row r="749" spans="1:7" s="102" customFormat="1" ht="18" customHeight="1" hidden="1">
      <c r="A749" s="224"/>
      <c r="B749" s="207"/>
      <c r="C749" s="225" t="s">
        <v>1582</v>
      </c>
      <c r="D749" s="209">
        <f>SUM(D750,D751)</f>
        <v>0</v>
      </c>
      <c r="E749" s="209">
        <f>SUM(E750,E751)</f>
        <v>0</v>
      </c>
      <c r="F749" s="210" t="e">
        <f t="shared" si="40"/>
        <v>#DIV/0!</v>
      </c>
      <c r="G749" s="204"/>
    </row>
    <row r="750" spans="1:7" s="243" customFormat="1" ht="18" customHeight="1" hidden="1">
      <c r="A750" s="237"/>
      <c r="B750" s="238"/>
      <c r="C750" s="249" t="s">
        <v>1714</v>
      </c>
      <c r="D750" s="240">
        <v>0</v>
      </c>
      <c r="E750" s="240">
        <v>0</v>
      </c>
      <c r="F750" s="1006" t="s">
        <v>1195</v>
      </c>
      <c r="G750" s="242"/>
    </row>
    <row r="751" spans="1:7" s="205" customFormat="1" ht="18.75" customHeight="1" hidden="1">
      <c r="A751" s="199"/>
      <c r="B751" s="200"/>
      <c r="C751" s="201" t="s">
        <v>1583</v>
      </c>
      <c r="D751" s="202">
        <v>0</v>
      </c>
      <c r="E751" s="202">
        <v>0</v>
      </c>
      <c r="F751" s="203" t="e">
        <f t="shared" si="40"/>
        <v>#DIV/0!</v>
      </c>
      <c r="G751" s="204"/>
    </row>
    <row r="752" spans="1:8" s="246" customFormat="1" ht="18.75" customHeight="1">
      <c r="A752" s="244" t="s">
        <v>574</v>
      </c>
      <c r="B752" s="212"/>
      <c r="C752" s="213" t="s">
        <v>765</v>
      </c>
      <c r="D752" s="214">
        <f>SUM(D753,D760,D766,D774,D779,D784,D789)</f>
        <v>3295538.99</v>
      </c>
      <c r="E752" s="214">
        <f>SUM(E753,E760,E766,E774,E779,E784,E789)</f>
        <v>3205286.0900000003</v>
      </c>
      <c r="F752" s="215">
        <f t="shared" si="40"/>
        <v>97.26136148672907</v>
      </c>
      <c r="G752" s="204"/>
      <c r="H752" s="102"/>
    </row>
    <row r="753" spans="1:7" s="97" customFormat="1" ht="18.75" customHeight="1">
      <c r="A753" s="230"/>
      <c r="B753" s="217" t="s">
        <v>575</v>
      </c>
      <c r="C753" s="218" t="s">
        <v>766</v>
      </c>
      <c r="D753" s="106">
        <f>SUM(D754)</f>
        <v>1044431</v>
      </c>
      <c r="E753" s="106">
        <f>SUM(E754)</f>
        <v>1029407.9099999999</v>
      </c>
      <c r="F753" s="219">
        <f t="shared" si="40"/>
        <v>98.5616005269855</v>
      </c>
      <c r="G753" s="96"/>
    </row>
    <row r="754" spans="1:7" s="109" customFormat="1" ht="18.75" customHeight="1">
      <c r="A754" s="220"/>
      <c r="B754" s="221"/>
      <c r="C754" s="222" t="s">
        <v>1235</v>
      </c>
      <c r="D754" s="108">
        <f>SUM(D755,D758,D759)</f>
        <v>1044431</v>
      </c>
      <c r="E754" s="108">
        <f>SUM(E755,E758,E759)</f>
        <v>1029407.9099999999</v>
      </c>
      <c r="F754" s="223">
        <f t="shared" si="40"/>
        <v>98.5616005269855</v>
      </c>
      <c r="G754" s="226"/>
    </row>
    <row r="755" spans="1:7" s="102" customFormat="1" ht="18" customHeight="1">
      <c r="A755" s="224"/>
      <c r="B755" s="207"/>
      <c r="C755" s="225" t="s">
        <v>1582</v>
      </c>
      <c r="D755" s="209">
        <f>SUM(D756,D757)</f>
        <v>1014149</v>
      </c>
      <c r="E755" s="209">
        <f>SUM(E756,E757)</f>
        <v>999161.97</v>
      </c>
      <c r="F755" s="210">
        <f aca="true" t="shared" si="41" ref="F755:F788">E755/D755*100</f>
        <v>98.52220630301859</v>
      </c>
      <c r="G755" s="204"/>
    </row>
    <row r="756" spans="1:7" s="205" customFormat="1" ht="18.75" customHeight="1">
      <c r="A756" s="199"/>
      <c r="B756" s="200"/>
      <c r="C756" s="201" t="s">
        <v>1714</v>
      </c>
      <c r="D756" s="202">
        <v>536700</v>
      </c>
      <c r="E756" s="202">
        <v>536698.22</v>
      </c>
      <c r="F756" s="203">
        <f t="shared" si="41"/>
        <v>99.99966834358113</v>
      </c>
      <c r="G756" s="204"/>
    </row>
    <row r="757" spans="1:7" s="205" customFormat="1" ht="18.75" customHeight="1">
      <c r="A757" s="199"/>
      <c r="B757" s="200"/>
      <c r="C757" s="201" t="s">
        <v>1583</v>
      </c>
      <c r="D757" s="202">
        <v>477449</v>
      </c>
      <c r="E757" s="202">
        <v>462463.75</v>
      </c>
      <c r="F757" s="203">
        <f t="shared" si="41"/>
        <v>96.86139252569384</v>
      </c>
      <c r="G757" s="204"/>
    </row>
    <row r="758" spans="1:7" s="11" customFormat="1" ht="18.75" customHeight="1" hidden="1">
      <c r="A758" s="57"/>
      <c r="B758" s="45"/>
      <c r="C758" s="10" t="s">
        <v>1584</v>
      </c>
      <c r="D758" s="9">
        <v>0</v>
      </c>
      <c r="E758" s="9">
        <v>0</v>
      </c>
      <c r="F758" s="46" t="e">
        <f t="shared" si="41"/>
        <v>#DIV/0!</v>
      </c>
      <c r="G758" s="58"/>
    </row>
    <row r="759" spans="1:7" s="102" customFormat="1" ht="18.75" customHeight="1">
      <c r="A759" s="206"/>
      <c r="B759" s="207"/>
      <c r="C759" s="208" t="s">
        <v>1588</v>
      </c>
      <c r="D759" s="209">
        <v>30282</v>
      </c>
      <c r="E759" s="209">
        <v>30245.94</v>
      </c>
      <c r="F759" s="210">
        <f t="shared" si="41"/>
        <v>99.88091935803448</v>
      </c>
      <c r="G759" s="204"/>
    </row>
    <row r="760" spans="1:7" s="11" customFormat="1" ht="18.75" customHeight="1" hidden="1">
      <c r="A760" s="59"/>
      <c r="B760" s="3" t="s">
        <v>586</v>
      </c>
      <c r="C760" s="12" t="s">
        <v>387</v>
      </c>
      <c r="D760" s="2">
        <f>SUM(D761,D764)</f>
        <v>0</v>
      </c>
      <c r="E760" s="2">
        <f>SUM(E761,E764)</f>
        <v>0</v>
      </c>
      <c r="F760" s="39" t="e">
        <f t="shared" si="41"/>
        <v>#DIV/0!</v>
      </c>
      <c r="G760" s="48"/>
    </row>
    <row r="761" spans="1:7" s="7" customFormat="1" ht="18.75" customHeight="1" hidden="1">
      <c r="A761" s="40"/>
      <c r="B761" s="41"/>
      <c r="C761" s="42" t="s">
        <v>1235</v>
      </c>
      <c r="D761" s="6">
        <f>SUM(D762)</f>
        <v>0</v>
      </c>
      <c r="E761" s="6">
        <f>SUM(E762)</f>
        <v>0</v>
      </c>
      <c r="F761" s="43" t="e">
        <f t="shared" si="41"/>
        <v>#DIV/0!</v>
      </c>
      <c r="G761" s="47"/>
    </row>
    <row r="762" spans="1:7" s="11" customFormat="1" ht="18" customHeight="1" hidden="1">
      <c r="A762" s="44"/>
      <c r="B762" s="45"/>
      <c r="C762" s="10" t="s">
        <v>1582</v>
      </c>
      <c r="D762" s="9">
        <f>SUM(D763)</f>
        <v>0</v>
      </c>
      <c r="E762" s="9">
        <f>SUM(E763)</f>
        <v>0</v>
      </c>
      <c r="F762" s="46" t="e">
        <f t="shared" si="41"/>
        <v>#DIV/0!</v>
      </c>
      <c r="G762" s="48"/>
    </row>
    <row r="763" spans="1:7" s="54" customFormat="1" ht="18.75" customHeight="1" hidden="1">
      <c r="A763" s="49"/>
      <c r="B763" s="50"/>
      <c r="C763" s="51" t="s">
        <v>1583</v>
      </c>
      <c r="D763" s="52">
        <v>0</v>
      </c>
      <c r="E763" s="52">
        <v>0</v>
      </c>
      <c r="F763" s="53" t="e">
        <f t="shared" si="41"/>
        <v>#DIV/0!</v>
      </c>
      <c r="G763" s="48"/>
    </row>
    <row r="764" spans="1:7" s="7" customFormat="1" ht="18.75" customHeight="1" hidden="1">
      <c r="A764" s="40"/>
      <c r="B764" s="41"/>
      <c r="C764" s="42" t="s">
        <v>1585</v>
      </c>
      <c r="D764" s="6">
        <f>SUM(D765)</f>
        <v>0</v>
      </c>
      <c r="E764" s="6">
        <f>SUM(E765)</f>
        <v>0</v>
      </c>
      <c r="F764" s="43" t="e">
        <f t="shared" si="41"/>
        <v>#DIV/0!</v>
      </c>
      <c r="G764" s="47"/>
    </row>
    <row r="765" spans="1:7" s="11" customFormat="1" ht="18.75" customHeight="1" hidden="1">
      <c r="A765" s="44"/>
      <c r="B765" s="45"/>
      <c r="C765" s="10" t="s">
        <v>1586</v>
      </c>
      <c r="D765" s="9">
        <v>0</v>
      </c>
      <c r="E765" s="9">
        <v>0</v>
      </c>
      <c r="F765" s="46" t="e">
        <f>E765/D765*100</f>
        <v>#DIV/0!</v>
      </c>
      <c r="G765" s="58"/>
    </row>
    <row r="766" spans="1:8" s="246" customFormat="1" ht="18.75" customHeight="1">
      <c r="A766" s="230"/>
      <c r="B766" s="217" t="s">
        <v>769</v>
      </c>
      <c r="C766" s="218" t="s">
        <v>770</v>
      </c>
      <c r="D766" s="106">
        <f>D767</f>
        <v>1526897.99</v>
      </c>
      <c r="E766" s="106">
        <f>E767</f>
        <v>1459758.79</v>
      </c>
      <c r="F766" s="219">
        <f t="shared" si="41"/>
        <v>95.60290206420405</v>
      </c>
      <c r="G766" s="204"/>
      <c r="H766" s="102"/>
    </row>
    <row r="767" spans="1:7" s="109" customFormat="1" ht="18.75" customHeight="1">
      <c r="A767" s="220"/>
      <c r="B767" s="221"/>
      <c r="C767" s="222" t="s">
        <v>1235</v>
      </c>
      <c r="D767" s="108">
        <f>SUM(D768,D771,D772,D773)</f>
        <v>1526897.99</v>
      </c>
      <c r="E767" s="108">
        <f>SUM(E768,E771,E772,E773)</f>
        <v>1459758.79</v>
      </c>
      <c r="F767" s="223">
        <f t="shared" si="41"/>
        <v>95.60290206420405</v>
      </c>
      <c r="G767" s="226"/>
    </row>
    <row r="768" spans="1:7" s="102" customFormat="1" ht="18" customHeight="1">
      <c r="A768" s="224"/>
      <c r="B768" s="207"/>
      <c r="C768" s="225" t="s">
        <v>1582</v>
      </c>
      <c r="D768" s="209">
        <f>SUM(D769,D770)</f>
        <v>440230.99</v>
      </c>
      <c r="E768" s="209">
        <f>SUM(E769,E770)</f>
        <v>412467.26</v>
      </c>
      <c r="F768" s="210">
        <f t="shared" si="41"/>
        <v>93.69337219989897</v>
      </c>
      <c r="G768" s="204"/>
    </row>
    <row r="769" spans="1:7" s="205" customFormat="1" ht="18.75" customHeight="1">
      <c r="A769" s="199"/>
      <c r="B769" s="200"/>
      <c r="C769" s="201" t="s">
        <v>1714</v>
      </c>
      <c r="D769" s="202">
        <v>261530.99</v>
      </c>
      <c r="E769" s="202">
        <v>243259.37</v>
      </c>
      <c r="F769" s="203">
        <f t="shared" si="41"/>
        <v>93.01359276772516</v>
      </c>
      <c r="G769" s="204"/>
    </row>
    <row r="770" spans="1:7" s="205" customFormat="1" ht="18.75" customHeight="1">
      <c r="A770" s="199"/>
      <c r="B770" s="200"/>
      <c r="C770" s="201" t="s">
        <v>1583</v>
      </c>
      <c r="D770" s="202">
        <v>178700</v>
      </c>
      <c r="E770" s="202">
        <v>169207.89</v>
      </c>
      <c r="F770" s="203">
        <f>E770/D770*100</f>
        <v>94.68824286513711</v>
      </c>
      <c r="G770" s="204"/>
    </row>
    <row r="771" spans="1:7" s="11" customFormat="1" ht="18.75" customHeight="1">
      <c r="A771" s="57"/>
      <c r="B771" s="45"/>
      <c r="C771" s="10" t="s">
        <v>1584</v>
      </c>
      <c r="D771" s="9">
        <v>188</v>
      </c>
      <c r="E771" s="9">
        <v>0</v>
      </c>
      <c r="F771" s="46">
        <f t="shared" si="41"/>
        <v>0</v>
      </c>
      <c r="G771" s="58"/>
    </row>
    <row r="772" spans="1:7" s="102" customFormat="1" ht="18.75" customHeight="1">
      <c r="A772" s="206"/>
      <c r="B772" s="207"/>
      <c r="C772" s="208" t="s">
        <v>1588</v>
      </c>
      <c r="D772" s="209">
        <v>1086479</v>
      </c>
      <c r="E772" s="209">
        <v>1047291.53</v>
      </c>
      <c r="F772" s="210">
        <f t="shared" si="41"/>
        <v>96.39316820665655</v>
      </c>
      <c r="G772" s="204"/>
    </row>
    <row r="773" spans="1:7" s="11" customFormat="1" ht="18.75" customHeight="1" hidden="1">
      <c r="A773" s="57"/>
      <c r="B773" s="45"/>
      <c r="C773" s="56" t="s">
        <v>1596</v>
      </c>
      <c r="D773" s="9">
        <v>0</v>
      </c>
      <c r="E773" s="9">
        <v>0</v>
      </c>
      <c r="F773" s="46" t="e">
        <f>E773/D773*100</f>
        <v>#DIV/0!</v>
      </c>
      <c r="G773" s="48"/>
    </row>
    <row r="774" spans="1:8" s="110" customFormat="1" ht="28.5" customHeight="1">
      <c r="A774" s="230"/>
      <c r="B774" s="217" t="s">
        <v>550</v>
      </c>
      <c r="C774" s="107" t="s">
        <v>1594</v>
      </c>
      <c r="D774" s="106">
        <f>SUM(D775)</f>
        <v>318000</v>
      </c>
      <c r="E774" s="106">
        <f>SUM(E775)</f>
        <v>313604.44999999995</v>
      </c>
      <c r="F774" s="219">
        <f t="shared" si="41"/>
        <v>98.61775157232702</v>
      </c>
      <c r="G774" s="96"/>
      <c r="H774" s="97"/>
    </row>
    <row r="775" spans="1:7" s="109" customFormat="1" ht="18.75" customHeight="1">
      <c r="A775" s="220"/>
      <c r="B775" s="221"/>
      <c r="C775" s="222" t="s">
        <v>1235</v>
      </c>
      <c r="D775" s="108">
        <f>SUM(D776)</f>
        <v>318000</v>
      </c>
      <c r="E775" s="108">
        <f>SUM(E776)</f>
        <v>313604.44999999995</v>
      </c>
      <c r="F775" s="223">
        <f t="shared" si="41"/>
        <v>98.61775157232702</v>
      </c>
      <c r="G775" s="226"/>
    </row>
    <row r="776" spans="1:7" s="102" customFormat="1" ht="18" customHeight="1">
      <c r="A776" s="224"/>
      <c r="B776" s="207"/>
      <c r="C776" s="225" t="s">
        <v>1582</v>
      </c>
      <c r="D776" s="209">
        <f>SUM(D777,D778)</f>
        <v>318000</v>
      </c>
      <c r="E776" s="209">
        <f>SUM(E777,E778)</f>
        <v>313604.44999999995</v>
      </c>
      <c r="F776" s="210">
        <f t="shared" si="41"/>
        <v>98.61775157232702</v>
      </c>
      <c r="G776" s="204"/>
    </row>
    <row r="777" spans="1:7" s="205" customFormat="1" ht="18.75" customHeight="1">
      <c r="A777" s="199"/>
      <c r="B777" s="200"/>
      <c r="C777" s="201" t="s">
        <v>1714</v>
      </c>
      <c r="D777" s="202">
        <v>168440</v>
      </c>
      <c r="E777" s="202">
        <v>168437.33</v>
      </c>
      <c r="F777" s="203">
        <f t="shared" si="41"/>
        <v>99.99841486582758</v>
      </c>
      <c r="G777" s="204"/>
    </row>
    <row r="778" spans="1:7" s="205" customFormat="1" ht="18.75" customHeight="1">
      <c r="A778" s="199"/>
      <c r="B778" s="200"/>
      <c r="C778" s="201" t="s">
        <v>1583</v>
      </c>
      <c r="D778" s="202">
        <v>149560</v>
      </c>
      <c r="E778" s="202">
        <v>145167.12</v>
      </c>
      <c r="F778" s="203">
        <f t="shared" si="41"/>
        <v>97.06279753944905</v>
      </c>
      <c r="G778" s="204"/>
    </row>
    <row r="779" spans="1:7" s="102" customFormat="1" ht="18.75" customHeight="1">
      <c r="A779" s="230"/>
      <c r="B779" s="217" t="s">
        <v>771</v>
      </c>
      <c r="C779" s="229" t="s">
        <v>772</v>
      </c>
      <c r="D779" s="106">
        <f>D780</f>
        <v>373393</v>
      </c>
      <c r="E779" s="106">
        <f>E780</f>
        <v>373017.80000000005</v>
      </c>
      <c r="F779" s="219">
        <f t="shared" si="41"/>
        <v>99.89951605948694</v>
      </c>
      <c r="G779" s="204"/>
    </row>
    <row r="780" spans="1:7" s="109" customFormat="1" ht="18.75" customHeight="1">
      <c r="A780" s="220"/>
      <c r="B780" s="221"/>
      <c r="C780" s="222" t="s">
        <v>1235</v>
      </c>
      <c r="D780" s="108">
        <f>SUM(D781)</f>
        <v>373393</v>
      </c>
      <c r="E780" s="108">
        <f>SUM(E781)</f>
        <v>373017.80000000005</v>
      </c>
      <c r="F780" s="223">
        <f t="shared" si="41"/>
        <v>99.89951605948694</v>
      </c>
      <c r="G780" s="226"/>
    </row>
    <row r="781" spans="1:7" s="102" customFormat="1" ht="18" customHeight="1">
      <c r="A781" s="224"/>
      <c r="B781" s="207"/>
      <c r="C781" s="225" t="s">
        <v>1582</v>
      </c>
      <c r="D781" s="209">
        <f>SUM(D782,D783)</f>
        <v>373393</v>
      </c>
      <c r="E781" s="209">
        <f>SUM(E782,E783)</f>
        <v>373017.80000000005</v>
      </c>
      <c r="F781" s="210">
        <f t="shared" si="41"/>
        <v>99.89951605948694</v>
      </c>
      <c r="G781" s="204"/>
    </row>
    <row r="782" spans="1:7" s="205" customFormat="1" ht="18.75" customHeight="1">
      <c r="A782" s="199"/>
      <c r="B782" s="200"/>
      <c r="C782" s="201" t="s">
        <v>1714</v>
      </c>
      <c r="D782" s="202">
        <v>281234</v>
      </c>
      <c r="E782" s="202">
        <v>281055.46</v>
      </c>
      <c r="F782" s="203">
        <f t="shared" si="41"/>
        <v>99.93651549954843</v>
      </c>
      <c r="G782" s="204"/>
    </row>
    <row r="783" spans="1:7" s="205" customFormat="1" ht="18.75" customHeight="1">
      <c r="A783" s="199"/>
      <c r="B783" s="200"/>
      <c r="C783" s="201" t="s">
        <v>1583</v>
      </c>
      <c r="D783" s="202">
        <v>92159</v>
      </c>
      <c r="E783" s="202">
        <v>91962.34</v>
      </c>
      <c r="F783" s="203">
        <f t="shared" si="41"/>
        <v>99.78660792760337</v>
      </c>
      <c r="G783" s="204"/>
    </row>
    <row r="784" spans="1:7" s="102" customFormat="1" ht="42.75" customHeight="1">
      <c r="A784" s="230"/>
      <c r="B784" s="217" t="s">
        <v>736</v>
      </c>
      <c r="C784" s="254" t="s">
        <v>737</v>
      </c>
      <c r="D784" s="106">
        <f>SUM(D785)</f>
        <v>32817</v>
      </c>
      <c r="E784" s="106">
        <f>SUM(E785)</f>
        <v>29497.14</v>
      </c>
      <c r="F784" s="219">
        <f t="shared" si="41"/>
        <v>89.88371880427827</v>
      </c>
      <c r="G784" s="204"/>
    </row>
    <row r="785" spans="1:7" s="109" customFormat="1" ht="18.75" customHeight="1">
      <c r="A785" s="220"/>
      <c r="B785" s="221"/>
      <c r="C785" s="222" t="s">
        <v>1235</v>
      </c>
      <c r="D785" s="108">
        <f>SUM(D786)</f>
        <v>32817</v>
      </c>
      <c r="E785" s="108">
        <f>SUM(E786)</f>
        <v>29497.14</v>
      </c>
      <c r="F785" s="223">
        <f t="shared" si="41"/>
        <v>89.88371880427827</v>
      </c>
      <c r="G785" s="226"/>
    </row>
    <row r="786" spans="1:7" s="102" customFormat="1" ht="18" customHeight="1">
      <c r="A786" s="224"/>
      <c r="B786" s="207"/>
      <c r="C786" s="225" t="s">
        <v>1582</v>
      </c>
      <c r="D786" s="209">
        <f>SUM(D787,D788)</f>
        <v>32817</v>
      </c>
      <c r="E786" s="209">
        <f>SUM(E787,E788)</f>
        <v>29497.14</v>
      </c>
      <c r="F786" s="210">
        <f t="shared" si="41"/>
        <v>89.88371880427827</v>
      </c>
      <c r="G786" s="204"/>
    </row>
    <row r="787" spans="1:7" s="205" customFormat="1" ht="18.75" customHeight="1">
      <c r="A787" s="199"/>
      <c r="B787" s="200"/>
      <c r="C787" s="201" t="s">
        <v>1714</v>
      </c>
      <c r="D787" s="202">
        <v>10904</v>
      </c>
      <c r="E787" s="202">
        <v>9009.94</v>
      </c>
      <c r="F787" s="203">
        <f t="shared" si="41"/>
        <v>82.62967718268526</v>
      </c>
      <c r="G787" s="204"/>
    </row>
    <row r="788" spans="1:7" s="205" customFormat="1" ht="18.75" customHeight="1">
      <c r="A788" s="199"/>
      <c r="B788" s="200"/>
      <c r="C788" s="201" t="s">
        <v>1583</v>
      </c>
      <c r="D788" s="202">
        <v>21913</v>
      </c>
      <c r="E788" s="202">
        <v>20487.2</v>
      </c>
      <c r="F788" s="203">
        <f t="shared" si="41"/>
        <v>93.49336010587322</v>
      </c>
      <c r="G788" s="204"/>
    </row>
    <row r="789" spans="1:7" s="11" customFormat="1" ht="18.75" customHeight="1" hidden="1">
      <c r="A789" s="59"/>
      <c r="B789" s="3" t="s">
        <v>584</v>
      </c>
      <c r="C789" s="12" t="s">
        <v>215</v>
      </c>
      <c r="D789" s="2">
        <f>SUM(D790)</f>
        <v>0</v>
      </c>
      <c r="E789" s="2">
        <f>SUM(E790)</f>
        <v>0</v>
      </c>
      <c r="F789" s="39" t="e">
        <f aca="true" t="shared" si="42" ref="F789:F796">E789/D789*100</f>
        <v>#DIV/0!</v>
      </c>
      <c r="G789" s="48"/>
    </row>
    <row r="790" spans="1:7" s="7" customFormat="1" ht="18.75" customHeight="1" hidden="1">
      <c r="A790" s="40"/>
      <c r="B790" s="41"/>
      <c r="C790" s="42" t="s">
        <v>1235</v>
      </c>
      <c r="D790" s="6">
        <f>SUM(D791,D794)</f>
        <v>0</v>
      </c>
      <c r="E790" s="6">
        <f>SUM(E791,E794)</f>
        <v>0</v>
      </c>
      <c r="F790" s="43" t="e">
        <f t="shared" si="42"/>
        <v>#DIV/0!</v>
      </c>
      <c r="G790" s="47"/>
    </row>
    <row r="791" spans="1:7" s="11" customFormat="1" ht="18" customHeight="1" hidden="1">
      <c r="A791" s="44"/>
      <c r="B791" s="45"/>
      <c r="C791" s="10" t="s">
        <v>1582</v>
      </c>
      <c r="D791" s="9">
        <f>SUM(D792,D793)</f>
        <v>0</v>
      </c>
      <c r="E791" s="9">
        <f>SUM(E792,E793)</f>
        <v>0</v>
      </c>
      <c r="F791" s="46" t="e">
        <f>E791/D791*100</f>
        <v>#DIV/0!</v>
      </c>
      <c r="G791" s="48"/>
    </row>
    <row r="792" spans="1:7" s="54" customFormat="1" ht="18.75" customHeight="1" hidden="1">
      <c r="A792" s="49"/>
      <c r="B792" s="50"/>
      <c r="C792" s="51" t="s">
        <v>1714</v>
      </c>
      <c r="D792" s="52">
        <v>0</v>
      </c>
      <c r="E792" s="52">
        <v>0</v>
      </c>
      <c r="F792" s="53" t="e">
        <f>E792/D792*100</f>
        <v>#DIV/0!</v>
      </c>
      <c r="G792" s="48"/>
    </row>
    <row r="793" spans="1:7" s="54" customFormat="1" ht="18.75" customHeight="1" hidden="1">
      <c r="A793" s="49"/>
      <c r="B793" s="50"/>
      <c r="C793" s="51" t="s">
        <v>1583</v>
      </c>
      <c r="D793" s="52">
        <v>0</v>
      </c>
      <c r="E793" s="52">
        <v>0</v>
      </c>
      <c r="F793" s="53" t="e">
        <f>E793/D793*100</f>
        <v>#DIV/0!</v>
      </c>
      <c r="G793" s="48"/>
    </row>
    <row r="794" spans="1:7" s="11" customFormat="1" ht="18.75" customHeight="1" hidden="1">
      <c r="A794" s="57"/>
      <c r="B794" s="45"/>
      <c r="C794" s="56" t="s">
        <v>1588</v>
      </c>
      <c r="D794" s="9">
        <v>0</v>
      </c>
      <c r="E794" s="9">
        <v>0</v>
      </c>
      <c r="F794" s="46" t="e">
        <f>E794/D794*100</f>
        <v>#DIV/0!</v>
      </c>
      <c r="G794" s="48"/>
    </row>
    <row r="795" spans="1:7" s="102" customFormat="1" ht="27" customHeight="1">
      <c r="A795" s="244" t="s">
        <v>25</v>
      </c>
      <c r="B795" s="212"/>
      <c r="C795" s="228" t="s">
        <v>1095</v>
      </c>
      <c r="D795" s="214">
        <f>SUM(D796,D799,D804,D809,D817)</f>
        <v>1147185</v>
      </c>
      <c r="E795" s="214">
        <f>SUM(E796,E799,E804,E809,E817)</f>
        <v>1138394.82</v>
      </c>
      <c r="F795" s="215">
        <f t="shared" si="42"/>
        <v>99.23376090168543</v>
      </c>
      <c r="G795" s="204"/>
    </row>
    <row r="796" spans="1:7" s="102" customFormat="1" ht="30.75" customHeight="1">
      <c r="A796" s="230"/>
      <c r="B796" s="217" t="s">
        <v>1680</v>
      </c>
      <c r="C796" s="107" t="s">
        <v>1683</v>
      </c>
      <c r="D796" s="106">
        <f>SUM(D797)</f>
        <v>41100</v>
      </c>
      <c r="E796" s="106">
        <f>SUM(E797)</f>
        <v>41100</v>
      </c>
      <c r="F796" s="219">
        <f t="shared" si="42"/>
        <v>100</v>
      </c>
      <c r="G796" s="204"/>
    </row>
    <row r="797" spans="1:7" s="109" customFormat="1" ht="18.75" customHeight="1">
      <c r="A797" s="220"/>
      <c r="B797" s="221"/>
      <c r="C797" s="222" t="s">
        <v>1235</v>
      </c>
      <c r="D797" s="108">
        <f>SUM(D798)</f>
        <v>41100</v>
      </c>
      <c r="E797" s="108">
        <f>SUM(E798)</f>
        <v>41100</v>
      </c>
      <c r="F797" s="223">
        <f aca="true" t="shared" si="43" ref="F797:F816">E797/D797*100</f>
        <v>100</v>
      </c>
      <c r="G797" s="226"/>
    </row>
    <row r="798" spans="1:7" s="102" customFormat="1" ht="17.25" customHeight="1">
      <c r="A798" s="224"/>
      <c r="B798" s="207"/>
      <c r="C798" s="225" t="s">
        <v>1584</v>
      </c>
      <c r="D798" s="209">
        <v>41100</v>
      </c>
      <c r="E798" s="209">
        <v>41100</v>
      </c>
      <c r="F798" s="210">
        <f t="shared" si="43"/>
        <v>100</v>
      </c>
      <c r="G798" s="204"/>
    </row>
    <row r="799" spans="1:7" s="102" customFormat="1" ht="18.75" customHeight="1">
      <c r="A799" s="230"/>
      <c r="B799" s="217" t="s">
        <v>33</v>
      </c>
      <c r="C799" s="255" t="s">
        <v>392</v>
      </c>
      <c r="D799" s="256">
        <f>D800</f>
        <v>45000</v>
      </c>
      <c r="E799" s="256">
        <f>E800</f>
        <v>45000</v>
      </c>
      <c r="F799" s="219">
        <f t="shared" si="43"/>
        <v>100</v>
      </c>
      <c r="G799" s="204"/>
    </row>
    <row r="800" spans="1:7" s="109" customFormat="1" ht="18.75" customHeight="1">
      <c r="A800" s="220"/>
      <c r="B800" s="221"/>
      <c r="C800" s="1725" t="s">
        <v>1235</v>
      </c>
      <c r="D800" s="1726">
        <f>SUM(D801,D803)</f>
        <v>45000</v>
      </c>
      <c r="E800" s="1726">
        <f>SUM(E801,E803)</f>
        <v>45000</v>
      </c>
      <c r="F800" s="1727">
        <f t="shared" si="43"/>
        <v>100</v>
      </c>
      <c r="G800" s="226"/>
    </row>
    <row r="801" spans="1:7" s="243" customFormat="1" ht="18" customHeight="1">
      <c r="A801" s="237"/>
      <c r="B801" s="238"/>
      <c r="C801" s="1728" t="s">
        <v>1582</v>
      </c>
      <c r="D801" s="1729">
        <f>SUM(D802)</f>
        <v>10000</v>
      </c>
      <c r="E801" s="1729">
        <f>SUM(E802)</f>
        <v>10000</v>
      </c>
      <c r="F801" s="1730">
        <f>E801/D801*100</f>
        <v>100</v>
      </c>
      <c r="G801" s="2007"/>
    </row>
    <row r="802" spans="1:7" s="250" customFormat="1" ht="18.75" customHeight="1">
      <c r="A802" s="247"/>
      <c r="B802" s="248"/>
      <c r="C802" s="1731" t="s">
        <v>1583</v>
      </c>
      <c r="D802" s="1732">
        <v>10000</v>
      </c>
      <c r="E802" s="1732">
        <v>10000</v>
      </c>
      <c r="F802" s="1733">
        <f>E802/D802*100</f>
        <v>100</v>
      </c>
      <c r="G802" s="2007"/>
    </row>
    <row r="803" spans="1:7" s="102" customFormat="1" ht="18" customHeight="1">
      <c r="A803" s="224"/>
      <c r="B803" s="207"/>
      <c r="C803" s="1728" t="s">
        <v>1584</v>
      </c>
      <c r="D803" s="1729">
        <v>35000</v>
      </c>
      <c r="E803" s="1729">
        <v>35000</v>
      </c>
      <c r="F803" s="1730">
        <f t="shared" si="43"/>
        <v>100</v>
      </c>
      <c r="G803" s="204"/>
    </row>
    <row r="804" spans="1:7" s="102" customFormat="1" ht="25.5" customHeight="1">
      <c r="A804" s="230"/>
      <c r="B804" s="217" t="s">
        <v>1675</v>
      </c>
      <c r="C804" s="107" t="s">
        <v>1676</v>
      </c>
      <c r="D804" s="106">
        <f>SUM(D805)</f>
        <v>20117</v>
      </c>
      <c r="E804" s="106">
        <f>SUM(E805)</f>
        <v>19969.100000000002</v>
      </c>
      <c r="F804" s="219">
        <f t="shared" si="43"/>
        <v>99.26480091464931</v>
      </c>
      <c r="G804" s="204"/>
    </row>
    <row r="805" spans="1:7" s="109" customFormat="1" ht="18.75" customHeight="1">
      <c r="A805" s="220"/>
      <c r="B805" s="221"/>
      <c r="C805" s="222" t="s">
        <v>1235</v>
      </c>
      <c r="D805" s="108">
        <f>SUM(D806)</f>
        <v>20117</v>
      </c>
      <c r="E805" s="108">
        <f>SUM(E806)</f>
        <v>19969.100000000002</v>
      </c>
      <c r="F805" s="223">
        <f t="shared" si="43"/>
        <v>99.26480091464931</v>
      </c>
      <c r="G805" s="226"/>
    </row>
    <row r="806" spans="1:7" s="102" customFormat="1" ht="18" customHeight="1">
      <c r="A806" s="224"/>
      <c r="B806" s="207"/>
      <c r="C806" s="225" t="s">
        <v>1582</v>
      </c>
      <c r="D806" s="209">
        <f>SUM(D807,D808)</f>
        <v>20117</v>
      </c>
      <c r="E806" s="209">
        <f>SUM(E807,E808)</f>
        <v>19969.100000000002</v>
      </c>
      <c r="F806" s="210">
        <f t="shared" si="43"/>
        <v>99.26480091464931</v>
      </c>
      <c r="G806" s="204"/>
    </row>
    <row r="807" spans="1:7" s="205" customFormat="1" ht="18.75" customHeight="1">
      <c r="A807" s="199"/>
      <c r="B807" s="200"/>
      <c r="C807" s="201" t="s">
        <v>1714</v>
      </c>
      <c r="D807" s="202">
        <v>18865</v>
      </c>
      <c r="E807" s="202">
        <v>18836.13</v>
      </c>
      <c r="F807" s="203">
        <f t="shared" si="43"/>
        <v>99.84696527961835</v>
      </c>
      <c r="G807" s="204"/>
    </row>
    <row r="808" spans="1:7" s="205" customFormat="1" ht="18.75" customHeight="1">
      <c r="A808" s="199"/>
      <c r="B808" s="200"/>
      <c r="C808" s="201" t="s">
        <v>1583</v>
      </c>
      <c r="D808" s="202">
        <v>1252</v>
      </c>
      <c r="E808" s="202">
        <v>1132.97</v>
      </c>
      <c r="F808" s="203">
        <f t="shared" si="43"/>
        <v>90.49281150159744</v>
      </c>
      <c r="G808" s="204"/>
    </row>
    <row r="809" spans="1:7" s="102" customFormat="1" ht="18.75" customHeight="1">
      <c r="A809" s="230"/>
      <c r="B809" s="217" t="s">
        <v>1097</v>
      </c>
      <c r="C809" s="218" t="s">
        <v>1098</v>
      </c>
      <c r="D809" s="106">
        <f>SUM(D810,D815)</f>
        <v>953951</v>
      </c>
      <c r="E809" s="106">
        <f>SUM(E810,E815)</f>
        <v>953943.98</v>
      </c>
      <c r="F809" s="219">
        <f t="shared" si="43"/>
        <v>99.99926411314627</v>
      </c>
      <c r="G809" s="204"/>
    </row>
    <row r="810" spans="1:7" s="109" customFormat="1" ht="18.75" customHeight="1">
      <c r="A810" s="220"/>
      <c r="B810" s="221"/>
      <c r="C810" s="222" t="s">
        <v>1235</v>
      </c>
      <c r="D810" s="108">
        <f>SUM(D811,D814)</f>
        <v>953951</v>
      </c>
      <c r="E810" s="108">
        <f>SUM(E811,E814)</f>
        <v>953943.98</v>
      </c>
      <c r="F810" s="223">
        <f t="shared" si="43"/>
        <v>99.99926411314627</v>
      </c>
      <c r="G810" s="226"/>
    </row>
    <row r="811" spans="1:7" s="102" customFormat="1" ht="18" customHeight="1">
      <c r="A811" s="224"/>
      <c r="B811" s="207"/>
      <c r="C811" s="225" t="s">
        <v>1582</v>
      </c>
      <c r="D811" s="209">
        <f>SUM(D812,D813)</f>
        <v>953527</v>
      </c>
      <c r="E811" s="209">
        <f>SUM(E812,E813)</f>
        <v>953520.22</v>
      </c>
      <c r="F811" s="210">
        <f t="shared" si="43"/>
        <v>99.99928895563524</v>
      </c>
      <c r="G811" s="204"/>
    </row>
    <row r="812" spans="1:7" s="205" customFormat="1" ht="18.75" customHeight="1">
      <c r="A812" s="199"/>
      <c r="B812" s="200"/>
      <c r="C812" s="201" t="s">
        <v>1714</v>
      </c>
      <c r="D812" s="202">
        <v>831013</v>
      </c>
      <c r="E812" s="202">
        <v>831011.96</v>
      </c>
      <c r="F812" s="203">
        <f t="shared" si="43"/>
        <v>99.99987485153662</v>
      </c>
      <c r="G812" s="204"/>
    </row>
    <row r="813" spans="1:7" s="205" customFormat="1" ht="18.75" customHeight="1">
      <c r="A813" s="199"/>
      <c r="B813" s="200"/>
      <c r="C813" s="201" t="s">
        <v>1583</v>
      </c>
      <c r="D813" s="202">
        <v>122514</v>
      </c>
      <c r="E813" s="202">
        <v>122508.26</v>
      </c>
      <c r="F813" s="203">
        <f t="shared" si="43"/>
        <v>99.99531482116329</v>
      </c>
      <c r="G813" s="204"/>
    </row>
    <row r="814" spans="1:7" s="102" customFormat="1" ht="18.75" customHeight="1">
      <c r="A814" s="206"/>
      <c r="B814" s="207"/>
      <c r="C814" s="208" t="s">
        <v>1588</v>
      </c>
      <c r="D814" s="209">
        <v>424</v>
      </c>
      <c r="E814" s="209">
        <v>423.76</v>
      </c>
      <c r="F814" s="210">
        <f t="shared" si="43"/>
        <v>99.94339622641509</v>
      </c>
      <c r="G814" s="204"/>
    </row>
    <row r="815" spans="1:7" s="7" customFormat="1" ht="18.75" customHeight="1" hidden="1">
      <c r="A815" s="40"/>
      <c r="B815" s="41"/>
      <c r="C815" s="42" t="s">
        <v>1585</v>
      </c>
      <c r="D815" s="6">
        <f>SUM(D816)</f>
        <v>0</v>
      </c>
      <c r="E815" s="6">
        <f>SUM(E816)</f>
        <v>0</v>
      </c>
      <c r="F815" s="43" t="e">
        <f t="shared" si="43"/>
        <v>#DIV/0!</v>
      </c>
      <c r="G815" s="47"/>
    </row>
    <row r="816" spans="1:7" s="11" customFormat="1" ht="28.5" customHeight="1" hidden="1">
      <c r="A816" s="44"/>
      <c r="B816" s="45"/>
      <c r="C816" s="10" t="s">
        <v>293</v>
      </c>
      <c r="D816" s="9">
        <v>0</v>
      </c>
      <c r="E816" s="9">
        <v>0</v>
      </c>
      <c r="F816" s="46" t="e">
        <f t="shared" si="43"/>
        <v>#DIV/0!</v>
      </c>
      <c r="G816" s="58"/>
    </row>
    <row r="817" spans="1:7" s="102" customFormat="1" ht="18" customHeight="1">
      <c r="A817" s="230"/>
      <c r="B817" s="217" t="s">
        <v>1099</v>
      </c>
      <c r="C817" s="107" t="s">
        <v>215</v>
      </c>
      <c r="D817" s="106">
        <f>SUM(D818,D823)</f>
        <v>87017</v>
      </c>
      <c r="E817" s="106">
        <f>SUM(E818,E823)</f>
        <v>78381.74</v>
      </c>
      <c r="F817" s="219">
        <f aca="true" t="shared" si="44" ref="F817:F827">E817/D817*100</f>
        <v>90.07635289656045</v>
      </c>
      <c r="G817" s="204"/>
    </row>
    <row r="818" spans="1:7" s="109" customFormat="1" ht="18.75" customHeight="1">
      <c r="A818" s="220"/>
      <c r="B818" s="221"/>
      <c r="C818" s="222" t="s">
        <v>1235</v>
      </c>
      <c r="D818" s="108">
        <f>SUM(D819,D822)</f>
        <v>80893</v>
      </c>
      <c r="E818" s="108">
        <f>SUM(E819,E822)</f>
        <v>72258.19</v>
      </c>
      <c r="F818" s="223">
        <f t="shared" si="44"/>
        <v>89.32564004301979</v>
      </c>
      <c r="G818" s="226"/>
    </row>
    <row r="819" spans="1:7" s="102" customFormat="1" ht="18" customHeight="1" hidden="1">
      <c r="A819" s="224"/>
      <c r="B819" s="207"/>
      <c r="C819" s="225" t="s">
        <v>1582</v>
      </c>
      <c r="D819" s="209">
        <f>SUM(D820,D821)</f>
        <v>0</v>
      </c>
      <c r="E819" s="209">
        <f>SUM(E820,E821)</f>
        <v>0</v>
      </c>
      <c r="F819" s="210" t="e">
        <f t="shared" si="44"/>
        <v>#DIV/0!</v>
      </c>
      <c r="G819" s="204"/>
    </row>
    <row r="820" spans="1:7" s="205" customFormat="1" ht="23.25" customHeight="1" hidden="1">
      <c r="A820" s="199"/>
      <c r="B820" s="200"/>
      <c r="C820" s="201" t="s">
        <v>1714</v>
      </c>
      <c r="D820" s="202"/>
      <c r="E820" s="202"/>
      <c r="F820" s="203" t="e">
        <f t="shared" si="44"/>
        <v>#DIV/0!</v>
      </c>
      <c r="G820" s="204"/>
    </row>
    <row r="821" spans="1:7" s="205" customFormat="1" ht="23.25" customHeight="1" hidden="1">
      <c r="A821" s="199"/>
      <c r="B821" s="200"/>
      <c r="C821" s="201" t="s">
        <v>1583</v>
      </c>
      <c r="D821" s="202"/>
      <c r="E821" s="202"/>
      <c r="F821" s="203" t="e">
        <f t="shared" si="44"/>
        <v>#DIV/0!</v>
      </c>
      <c r="G821" s="204"/>
    </row>
    <row r="822" spans="1:7" s="11" customFormat="1" ht="23.25" customHeight="1">
      <c r="A822" s="57"/>
      <c r="B822" s="45"/>
      <c r="C822" s="56" t="s">
        <v>1596</v>
      </c>
      <c r="D822" s="9">
        <v>80893</v>
      </c>
      <c r="E822" s="9">
        <v>72258.19</v>
      </c>
      <c r="F822" s="46">
        <f t="shared" si="44"/>
        <v>89.32564004301979</v>
      </c>
      <c r="G822" s="48"/>
    </row>
    <row r="823" spans="1:7" s="11" customFormat="1" ht="23.25" customHeight="1">
      <c r="A823" s="57"/>
      <c r="B823" s="45"/>
      <c r="C823" s="222" t="s">
        <v>1585</v>
      </c>
      <c r="D823" s="108">
        <f>SUM(D824,D825)</f>
        <v>6124</v>
      </c>
      <c r="E823" s="108">
        <f>SUM(E824,E825)</f>
        <v>6123.55</v>
      </c>
      <c r="F823" s="223">
        <f t="shared" si="44"/>
        <v>99.99265186152842</v>
      </c>
      <c r="G823" s="48"/>
    </row>
    <row r="824" spans="1:7" s="11" customFormat="1" ht="23.25" customHeight="1" hidden="1">
      <c r="A824" s="57"/>
      <c r="B824" s="45"/>
      <c r="C824" s="225" t="s">
        <v>293</v>
      </c>
      <c r="D824" s="209"/>
      <c r="E824" s="209"/>
      <c r="F824" s="210" t="e">
        <f t="shared" si="44"/>
        <v>#DIV/0!</v>
      </c>
      <c r="G824" s="48"/>
    </row>
    <row r="825" spans="1:7" s="11" customFormat="1" ht="23.25" customHeight="1">
      <c r="A825" s="57"/>
      <c r="B825" s="45"/>
      <c r="C825" s="56" t="s">
        <v>1596</v>
      </c>
      <c r="D825" s="9">
        <v>6124</v>
      </c>
      <c r="E825" s="9">
        <v>6123.55</v>
      </c>
      <c r="F825" s="46">
        <f t="shared" si="44"/>
        <v>99.99265186152842</v>
      </c>
      <c r="G825" s="48"/>
    </row>
    <row r="826" spans="1:7" s="102" customFormat="1" ht="27.75" customHeight="1">
      <c r="A826" s="244" t="s">
        <v>35</v>
      </c>
      <c r="B826" s="212"/>
      <c r="C826" s="228" t="s">
        <v>38</v>
      </c>
      <c r="D826" s="214">
        <f>SUM(D827,D833,D839,D847,D855,D861,D864,D868)</f>
        <v>5160878</v>
      </c>
      <c r="E826" s="214">
        <f>SUM(E827,E833,E839,E847,E855,E861,E864,E868)</f>
        <v>5160877.92</v>
      </c>
      <c r="F826" s="215">
        <f t="shared" si="44"/>
        <v>99.99999844987616</v>
      </c>
      <c r="G826" s="204"/>
    </row>
    <row r="827" spans="1:8" s="246" customFormat="1" ht="23.25" customHeight="1">
      <c r="A827" s="230"/>
      <c r="B827" s="217" t="s">
        <v>39</v>
      </c>
      <c r="C827" s="107" t="s">
        <v>96</v>
      </c>
      <c r="D827" s="106">
        <f>SUM(D828)</f>
        <v>1644728</v>
      </c>
      <c r="E827" s="106">
        <f>SUM(E828)</f>
        <v>1644728.28</v>
      </c>
      <c r="F827" s="219">
        <f t="shared" si="44"/>
        <v>100.00001702409152</v>
      </c>
      <c r="G827" s="204"/>
      <c r="H827" s="102"/>
    </row>
    <row r="828" spans="1:7" s="109" customFormat="1" ht="23.25" customHeight="1">
      <c r="A828" s="220"/>
      <c r="B828" s="221"/>
      <c r="C828" s="222" t="s">
        <v>1235</v>
      </c>
      <c r="D828" s="108">
        <f>SUM(D829,D832)</f>
        <v>1644728</v>
      </c>
      <c r="E828" s="108">
        <f>SUM(E829,E832)</f>
        <v>1644728.28</v>
      </c>
      <c r="F828" s="223">
        <f aca="true" t="shared" si="45" ref="F828:F867">E828/D828*100</f>
        <v>100.00001702409152</v>
      </c>
      <c r="G828" s="226"/>
    </row>
    <row r="829" spans="1:7" s="102" customFormat="1" ht="23.25" customHeight="1">
      <c r="A829" s="224"/>
      <c r="B829" s="207"/>
      <c r="C829" s="225" t="s">
        <v>1582</v>
      </c>
      <c r="D829" s="209">
        <f>SUM(D830,D831)</f>
        <v>1644728</v>
      </c>
      <c r="E829" s="209">
        <f>SUM(E830,E831)</f>
        <v>1644728.28</v>
      </c>
      <c r="F829" s="210">
        <f t="shared" si="45"/>
        <v>100.00001702409152</v>
      </c>
      <c r="G829" s="204"/>
    </row>
    <row r="830" spans="1:7" s="205" customFormat="1" ht="18.75" customHeight="1">
      <c r="A830" s="199"/>
      <c r="B830" s="200"/>
      <c r="C830" s="201" t="s">
        <v>1714</v>
      </c>
      <c r="D830" s="202">
        <v>1387942</v>
      </c>
      <c r="E830" s="202">
        <v>1387940.8</v>
      </c>
      <c r="F830" s="203">
        <f t="shared" si="45"/>
        <v>99.99991354105575</v>
      </c>
      <c r="G830" s="204"/>
    </row>
    <row r="831" spans="1:7" s="205" customFormat="1" ht="18.75" customHeight="1">
      <c r="A831" s="199"/>
      <c r="B831" s="200"/>
      <c r="C831" s="1731" t="s">
        <v>1583</v>
      </c>
      <c r="D831" s="1732">
        <v>256786</v>
      </c>
      <c r="E831" s="1732">
        <v>256787.48</v>
      </c>
      <c r="F831" s="203">
        <f t="shared" si="45"/>
        <v>100.0005763554088</v>
      </c>
      <c r="G831" s="204"/>
    </row>
    <row r="832" spans="1:7" s="243" customFormat="1" ht="18.75" customHeight="1" hidden="1">
      <c r="A832" s="1007"/>
      <c r="B832" s="238"/>
      <c r="C832" s="1734" t="s">
        <v>1588</v>
      </c>
      <c r="D832" s="1729"/>
      <c r="E832" s="1729"/>
      <c r="F832" s="1730" t="e">
        <f>E832/D832*100</f>
        <v>#DIV/0!</v>
      </c>
      <c r="G832" s="242"/>
    </row>
    <row r="833" spans="1:8" s="246" customFormat="1" ht="20.25" customHeight="1">
      <c r="A833" s="230"/>
      <c r="B833" s="253" t="s">
        <v>321</v>
      </c>
      <c r="C833" s="1735" t="s">
        <v>322</v>
      </c>
      <c r="D833" s="1736">
        <f>D834</f>
        <v>406085</v>
      </c>
      <c r="E833" s="1736">
        <f>E834</f>
        <v>406084.48</v>
      </c>
      <c r="F833" s="219">
        <f t="shared" si="45"/>
        <v>99.99987194799118</v>
      </c>
      <c r="G833" s="204"/>
      <c r="H833" s="102"/>
    </row>
    <row r="834" spans="1:7" s="109" customFormat="1" ht="18.75" customHeight="1">
      <c r="A834" s="220"/>
      <c r="B834" s="221"/>
      <c r="C834" s="222" t="s">
        <v>1235</v>
      </c>
      <c r="D834" s="108">
        <f>SUM(D835,D838)</f>
        <v>406085</v>
      </c>
      <c r="E834" s="108">
        <f>SUM(E835,E838)</f>
        <v>406084.48</v>
      </c>
      <c r="F834" s="223">
        <f t="shared" si="45"/>
        <v>99.99987194799118</v>
      </c>
      <c r="G834" s="226"/>
    </row>
    <row r="835" spans="1:7" s="102" customFormat="1" ht="18" customHeight="1">
      <c r="A835" s="224"/>
      <c r="B835" s="207"/>
      <c r="C835" s="225" t="s">
        <v>1582</v>
      </c>
      <c r="D835" s="209">
        <f>SUM(D836,D837)</f>
        <v>360208</v>
      </c>
      <c r="E835" s="209">
        <f>SUM(E836,E837)</f>
        <v>360208</v>
      </c>
      <c r="F835" s="210">
        <f t="shared" si="45"/>
        <v>100</v>
      </c>
      <c r="G835" s="204"/>
    </row>
    <row r="836" spans="1:7" s="205" customFormat="1" ht="18.75" customHeight="1">
      <c r="A836" s="199"/>
      <c r="B836" s="200"/>
      <c r="C836" s="201" t="s">
        <v>1714</v>
      </c>
      <c r="D836" s="202">
        <v>341768</v>
      </c>
      <c r="E836" s="202">
        <v>341767.99</v>
      </c>
      <c r="F836" s="203">
        <f t="shared" si="45"/>
        <v>99.99999707403853</v>
      </c>
      <c r="G836" s="204"/>
    </row>
    <row r="837" spans="1:7" s="205" customFormat="1" ht="18.75" customHeight="1">
      <c r="A837" s="199"/>
      <c r="B837" s="200"/>
      <c r="C837" s="201" t="s">
        <v>1583</v>
      </c>
      <c r="D837" s="202">
        <v>18440</v>
      </c>
      <c r="E837" s="202">
        <v>18440.01</v>
      </c>
      <c r="F837" s="203">
        <f t="shared" si="45"/>
        <v>100.00005422993492</v>
      </c>
      <c r="G837" s="204"/>
    </row>
    <row r="838" spans="1:7" s="102" customFormat="1" ht="18" customHeight="1">
      <c r="A838" s="224"/>
      <c r="B838" s="207"/>
      <c r="C838" s="225" t="s">
        <v>1584</v>
      </c>
      <c r="D838" s="209">
        <v>45877</v>
      </c>
      <c r="E838" s="209">
        <v>45876.48</v>
      </c>
      <c r="F838" s="210">
        <f t="shared" si="45"/>
        <v>99.99886653442903</v>
      </c>
      <c r="G838" s="204"/>
    </row>
    <row r="839" spans="1:8" s="246" customFormat="1" ht="27" customHeight="1">
      <c r="A839" s="230"/>
      <c r="B839" s="253" t="s">
        <v>40</v>
      </c>
      <c r="C839" s="107" t="s">
        <v>465</v>
      </c>
      <c r="D839" s="106">
        <f>SUM(D840,D845)</f>
        <v>1267421</v>
      </c>
      <c r="E839" s="106">
        <f>SUM(E840,E845)</f>
        <v>1267420.94</v>
      </c>
      <c r="F839" s="219">
        <f t="shared" si="45"/>
        <v>99.99999526597712</v>
      </c>
      <c r="G839" s="204"/>
      <c r="H839" s="102"/>
    </row>
    <row r="840" spans="1:7" s="109" customFormat="1" ht="18.75" customHeight="1">
      <c r="A840" s="220"/>
      <c r="B840" s="221"/>
      <c r="C840" s="222" t="s">
        <v>1235</v>
      </c>
      <c r="D840" s="108">
        <f>SUM(D841,D844)</f>
        <v>1198638</v>
      </c>
      <c r="E840" s="108">
        <f>SUM(E841,E844)</f>
        <v>1198637.99</v>
      </c>
      <c r="F840" s="223">
        <f t="shared" si="45"/>
        <v>99.99999916571976</v>
      </c>
      <c r="G840" s="226"/>
    </row>
    <row r="841" spans="1:7" s="102" customFormat="1" ht="18" customHeight="1">
      <c r="A841" s="224"/>
      <c r="B841" s="207"/>
      <c r="C841" s="225" t="s">
        <v>1582</v>
      </c>
      <c r="D841" s="209">
        <f>SUM(D842,D843)</f>
        <v>1197675</v>
      </c>
      <c r="E841" s="209">
        <f>SUM(E842,E843)</f>
        <v>1197674.99</v>
      </c>
      <c r="F841" s="210">
        <f t="shared" si="45"/>
        <v>99.99999916504895</v>
      </c>
      <c r="G841" s="204"/>
    </row>
    <row r="842" spans="1:7" s="205" customFormat="1" ht="18.75" customHeight="1">
      <c r="A842" s="199"/>
      <c r="B842" s="200"/>
      <c r="C842" s="201" t="s">
        <v>1714</v>
      </c>
      <c r="D842" s="202">
        <v>1106046</v>
      </c>
      <c r="E842" s="202">
        <v>1106045.81</v>
      </c>
      <c r="F842" s="203">
        <f t="shared" si="45"/>
        <v>99.99998282169096</v>
      </c>
      <c r="G842" s="204"/>
    </row>
    <row r="843" spans="1:7" s="205" customFormat="1" ht="18.75" customHeight="1">
      <c r="A843" s="199"/>
      <c r="B843" s="200"/>
      <c r="C843" s="201" t="s">
        <v>1583</v>
      </c>
      <c r="D843" s="202">
        <v>91629</v>
      </c>
      <c r="E843" s="202">
        <v>91629.18</v>
      </c>
      <c r="F843" s="203">
        <f t="shared" si="45"/>
        <v>100.00019644435713</v>
      </c>
      <c r="G843" s="204"/>
    </row>
    <row r="844" spans="1:7" s="102" customFormat="1" ht="18.75" customHeight="1">
      <c r="A844" s="206"/>
      <c r="B844" s="207"/>
      <c r="C844" s="208" t="s">
        <v>1588</v>
      </c>
      <c r="D844" s="209">
        <v>963</v>
      </c>
      <c r="E844" s="209">
        <v>963</v>
      </c>
      <c r="F844" s="210">
        <f t="shared" si="45"/>
        <v>100</v>
      </c>
      <c r="G844" s="204"/>
    </row>
    <row r="845" spans="1:7" s="102" customFormat="1" ht="18.75" customHeight="1">
      <c r="A845" s="206"/>
      <c r="B845" s="207"/>
      <c r="C845" s="222" t="s">
        <v>1585</v>
      </c>
      <c r="D845" s="108">
        <f>SUM(D846)</f>
        <v>68783</v>
      </c>
      <c r="E845" s="108">
        <f>SUM(E846)</f>
        <v>68782.95</v>
      </c>
      <c r="F845" s="223">
        <f t="shared" si="45"/>
        <v>99.9999273076196</v>
      </c>
      <c r="G845" s="204"/>
    </row>
    <row r="846" spans="1:7" s="102" customFormat="1" ht="30" customHeight="1">
      <c r="A846" s="206"/>
      <c r="B846" s="207"/>
      <c r="C846" s="225" t="s">
        <v>293</v>
      </c>
      <c r="D846" s="209">
        <v>68783</v>
      </c>
      <c r="E846" s="209">
        <v>68782.95</v>
      </c>
      <c r="F846" s="210">
        <f t="shared" si="45"/>
        <v>99.9999273076196</v>
      </c>
      <c r="G846" s="204"/>
    </row>
    <row r="847" spans="1:8" s="246" customFormat="1" ht="18.75" customHeight="1">
      <c r="A847" s="230"/>
      <c r="B847" s="217" t="s">
        <v>87</v>
      </c>
      <c r="C847" s="218" t="s">
        <v>467</v>
      </c>
      <c r="D847" s="106">
        <f>SUM(D848,D853)</f>
        <v>851310</v>
      </c>
      <c r="E847" s="106">
        <f>SUM(E848,E853)</f>
        <v>851311.15</v>
      </c>
      <c r="F847" s="219">
        <f t="shared" si="45"/>
        <v>100.0001350859264</v>
      </c>
      <c r="G847" s="204"/>
      <c r="H847" s="102"/>
    </row>
    <row r="848" spans="1:7" s="109" customFormat="1" ht="18.75" customHeight="1">
      <c r="A848" s="220"/>
      <c r="B848" s="221"/>
      <c r="C848" s="222" t="s">
        <v>1235</v>
      </c>
      <c r="D848" s="108">
        <f>SUM(D849,D852)</f>
        <v>824453</v>
      </c>
      <c r="E848" s="108">
        <f>SUM(E849,E852)</f>
        <v>824454.15</v>
      </c>
      <c r="F848" s="223">
        <f t="shared" si="45"/>
        <v>100.00013948642312</v>
      </c>
      <c r="G848" s="226"/>
    </row>
    <row r="849" spans="1:7" s="102" customFormat="1" ht="18" customHeight="1">
      <c r="A849" s="224"/>
      <c r="B849" s="207"/>
      <c r="C849" s="225" t="s">
        <v>1582</v>
      </c>
      <c r="D849" s="209">
        <f>SUM(D850,D851)</f>
        <v>824277</v>
      </c>
      <c r="E849" s="209">
        <f>SUM(E850,E851)</f>
        <v>824278.6</v>
      </c>
      <c r="F849" s="210">
        <f t="shared" si="45"/>
        <v>100.00019410950445</v>
      </c>
      <c r="G849" s="204"/>
    </row>
    <row r="850" spans="1:7" s="205" customFormat="1" ht="18.75" customHeight="1">
      <c r="A850" s="199"/>
      <c r="B850" s="200"/>
      <c r="C850" s="201" t="s">
        <v>1714</v>
      </c>
      <c r="D850" s="202">
        <v>757606</v>
      </c>
      <c r="E850" s="202">
        <v>757607.37</v>
      </c>
      <c r="F850" s="203">
        <f t="shared" si="45"/>
        <v>100.00018083278115</v>
      </c>
      <c r="G850" s="204"/>
    </row>
    <row r="851" spans="1:7" s="205" customFormat="1" ht="18.75" customHeight="1">
      <c r="A851" s="199"/>
      <c r="B851" s="200"/>
      <c r="C851" s="201" t="s">
        <v>1583</v>
      </c>
      <c r="D851" s="202">
        <v>66671</v>
      </c>
      <c r="E851" s="202">
        <v>66671.23</v>
      </c>
      <c r="F851" s="203">
        <f t="shared" si="45"/>
        <v>100.00034497757646</v>
      </c>
      <c r="G851" s="204"/>
    </row>
    <row r="852" spans="1:7" s="102" customFormat="1" ht="18.75" customHeight="1">
      <c r="A852" s="206"/>
      <c r="B852" s="207"/>
      <c r="C852" s="208" t="s">
        <v>1588</v>
      </c>
      <c r="D852" s="209">
        <v>176</v>
      </c>
      <c r="E852" s="209">
        <v>175.55</v>
      </c>
      <c r="F852" s="210">
        <f>E852/D852*100</f>
        <v>99.74431818181819</v>
      </c>
      <c r="G852" s="204"/>
    </row>
    <row r="853" spans="1:7" s="102" customFormat="1" ht="18.75" customHeight="1">
      <c r="A853" s="206"/>
      <c r="B853" s="207"/>
      <c r="C853" s="222" t="s">
        <v>1585</v>
      </c>
      <c r="D853" s="108">
        <f>SUM(D854)</f>
        <v>26857</v>
      </c>
      <c r="E853" s="108">
        <f>SUM(E854)</f>
        <v>26857</v>
      </c>
      <c r="F853" s="223">
        <f>E853/D853*100</f>
        <v>100</v>
      </c>
      <c r="G853" s="204"/>
    </row>
    <row r="854" spans="1:7" s="102" customFormat="1" ht="26.25" customHeight="1">
      <c r="A854" s="206"/>
      <c r="B854" s="207"/>
      <c r="C854" s="225" t="s">
        <v>293</v>
      </c>
      <c r="D854" s="209">
        <v>26857</v>
      </c>
      <c r="E854" s="209">
        <v>26857</v>
      </c>
      <c r="F854" s="210">
        <f>E854/D854*100</f>
        <v>100</v>
      </c>
      <c r="G854" s="204"/>
    </row>
    <row r="855" spans="1:7" s="102" customFormat="1" ht="18.75" customHeight="1">
      <c r="A855" s="230"/>
      <c r="B855" s="217" t="s">
        <v>90</v>
      </c>
      <c r="C855" s="218" t="s">
        <v>468</v>
      </c>
      <c r="D855" s="106">
        <f>D856</f>
        <v>297389</v>
      </c>
      <c r="E855" s="106">
        <f>E856</f>
        <v>297389</v>
      </c>
      <c r="F855" s="219">
        <f t="shared" si="45"/>
        <v>100</v>
      </c>
      <c r="G855" s="204"/>
    </row>
    <row r="856" spans="1:7" s="109" customFormat="1" ht="18.75" customHeight="1">
      <c r="A856" s="220"/>
      <c r="B856" s="221"/>
      <c r="C856" s="222" t="s">
        <v>1235</v>
      </c>
      <c r="D856" s="108">
        <f>SUM(D857,D860)</f>
        <v>297389</v>
      </c>
      <c r="E856" s="108">
        <f>SUM(E857,E860)</f>
        <v>297389</v>
      </c>
      <c r="F856" s="223">
        <f t="shared" si="45"/>
        <v>100</v>
      </c>
      <c r="G856" s="226"/>
    </row>
    <row r="857" spans="1:7" s="102" customFormat="1" ht="18" customHeight="1">
      <c r="A857" s="224"/>
      <c r="B857" s="207"/>
      <c r="C857" s="225" t="s">
        <v>1582</v>
      </c>
      <c r="D857" s="209">
        <f>SUM(D858,D859)</f>
        <v>297389</v>
      </c>
      <c r="E857" s="209">
        <f>SUM(E858,E859)</f>
        <v>297389</v>
      </c>
      <c r="F857" s="210">
        <f t="shared" si="45"/>
        <v>100</v>
      </c>
      <c r="G857" s="204"/>
    </row>
    <row r="858" spans="1:7" s="205" customFormat="1" ht="18.75" customHeight="1">
      <c r="A858" s="199"/>
      <c r="B858" s="200"/>
      <c r="C858" s="201" t="s">
        <v>1714</v>
      </c>
      <c r="D858" s="202">
        <v>288502</v>
      </c>
      <c r="E858" s="202">
        <v>288502</v>
      </c>
      <c r="F858" s="203">
        <f t="shared" si="45"/>
        <v>100</v>
      </c>
      <c r="G858" s="204"/>
    </row>
    <row r="859" spans="1:7" s="205" customFormat="1" ht="18.75" customHeight="1">
      <c r="A859" s="199"/>
      <c r="B859" s="200"/>
      <c r="C859" s="201" t="s">
        <v>1583</v>
      </c>
      <c r="D859" s="202">
        <v>8887</v>
      </c>
      <c r="E859" s="202">
        <v>8887</v>
      </c>
      <c r="F859" s="203">
        <f t="shared" si="45"/>
        <v>100</v>
      </c>
      <c r="G859" s="204"/>
    </row>
    <row r="860" spans="1:7" s="102" customFormat="1" ht="18.75" customHeight="1" hidden="1">
      <c r="A860" s="206"/>
      <c r="B860" s="207"/>
      <c r="C860" s="208" t="s">
        <v>1588</v>
      </c>
      <c r="D860" s="209">
        <v>0</v>
      </c>
      <c r="E860" s="209">
        <v>0</v>
      </c>
      <c r="F860" s="210" t="e">
        <f t="shared" si="45"/>
        <v>#DIV/0!</v>
      </c>
      <c r="G860" s="204"/>
    </row>
    <row r="861" spans="1:7" s="97" customFormat="1" ht="18.75" customHeight="1">
      <c r="A861" s="230"/>
      <c r="B861" s="217" t="s">
        <v>469</v>
      </c>
      <c r="C861" s="107" t="s">
        <v>1694</v>
      </c>
      <c r="D861" s="106">
        <f>SUM(D862)</f>
        <v>672880</v>
      </c>
      <c r="E861" s="106">
        <f>SUM(E862)</f>
        <v>672879.34</v>
      </c>
      <c r="F861" s="210">
        <f t="shared" si="45"/>
        <v>99.99990191416003</v>
      </c>
      <c r="G861" s="96"/>
    </row>
    <row r="862" spans="1:7" s="109" customFormat="1" ht="18.75" customHeight="1">
      <c r="A862" s="220"/>
      <c r="B862" s="221"/>
      <c r="C862" s="222" t="s">
        <v>1235</v>
      </c>
      <c r="D862" s="108">
        <f>SUM(D863)</f>
        <v>672880</v>
      </c>
      <c r="E862" s="108">
        <f>SUM(E863)</f>
        <v>672879.34</v>
      </c>
      <c r="F862" s="223">
        <f t="shared" si="45"/>
        <v>99.99990191416003</v>
      </c>
      <c r="G862" s="226"/>
    </row>
    <row r="863" spans="1:7" s="102" customFormat="1" ht="18" customHeight="1">
      <c r="A863" s="224"/>
      <c r="B863" s="207"/>
      <c r="C863" s="225" t="s">
        <v>1584</v>
      </c>
      <c r="D863" s="209">
        <v>672880</v>
      </c>
      <c r="E863" s="209">
        <v>672879.34</v>
      </c>
      <c r="F863" s="210">
        <f t="shared" si="45"/>
        <v>99.99990191416003</v>
      </c>
      <c r="G863" s="204"/>
    </row>
    <row r="864" spans="1:8" s="246" customFormat="1" ht="18.75" customHeight="1">
      <c r="A864" s="230"/>
      <c r="B864" s="217" t="s">
        <v>470</v>
      </c>
      <c r="C864" s="218" t="s">
        <v>1768</v>
      </c>
      <c r="D864" s="106">
        <f>D867</f>
        <v>13391</v>
      </c>
      <c r="E864" s="106">
        <f>E867</f>
        <v>13391.08</v>
      </c>
      <c r="F864" s="219">
        <f t="shared" si="45"/>
        <v>100.00059741617504</v>
      </c>
      <c r="G864" s="204"/>
      <c r="H864" s="102"/>
    </row>
    <row r="865" spans="1:7" s="109" customFormat="1" ht="18.75" customHeight="1">
      <c r="A865" s="220"/>
      <c r="B865" s="221"/>
      <c r="C865" s="222" t="s">
        <v>1235</v>
      </c>
      <c r="D865" s="108">
        <f>SUM(D866)</f>
        <v>13391</v>
      </c>
      <c r="E865" s="108">
        <f>SUM(E866)</f>
        <v>13391.08</v>
      </c>
      <c r="F865" s="223">
        <f t="shared" si="45"/>
        <v>100.00059741617504</v>
      </c>
      <c r="G865" s="226"/>
    </row>
    <row r="866" spans="1:7" s="102" customFormat="1" ht="18" customHeight="1">
      <c r="A866" s="224"/>
      <c r="B866" s="207"/>
      <c r="C866" s="225" t="s">
        <v>1582</v>
      </c>
      <c r="D866" s="209">
        <f>SUM(D867)</f>
        <v>13391</v>
      </c>
      <c r="E866" s="209">
        <f>SUM(E867)</f>
        <v>13391.08</v>
      </c>
      <c r="F866" s="210">
        <f t="shared" si="45"/>
        <v>100.00059741617504</v>
      </c>
      <c r="G866" s="204"/>
    </row>
    <row r="867" spans="1:7" s="205" customFormat="1" ht="18.75" customHeight="1">
      <c r="A867" s="199"/>
      <c r="B867" s="200"/>
      <c r="C867" s="201" t="s">
        <v>1583</v>
      </c>
      <c r="D867" s="202">
        <v>13391</v>
      </c>
      <c r="E867" s="202">
        <v>13391.08</v>
      </c>
      <c r="F867" s="203">
        <f t="shared" si="45"/>
        <v>100.00059741617504</v>
      </c>
      <c r="G867" s="204"/>
    </row>
    <row r="868" spans="1:8" s="246" customFormat="1" ht="18.75" customHeight="1">
      <c r="A868" s="230"/>
      <c r="B868" s="217" t="s">
        <v>471</v>
      </c>
      <c r="C868" s="218" t="s">
        <v>215</v>
      </c>
      <c r="D868" s="106">
        <f>SUM(D869)</f>
        <v>7674</v>
      </c>
      <c r="E868" s="106">
        <f>SUM(E869)</f>
        <v>7673.65</v>
      </c>
      <c r="F868" s="219">
        <f aca="true" t="shared" si="46" ref="F868:F888">E868/D868*100</f>
        <v>99.99543914516549</v>
      </c>
      <c r="G868" s="204"/>
      <c r="H868" s="102"/>
    </row>
    <row r="869" spans="1:7" s="109" customFormat="1" ht="18.75" customHeight="1">
      <c r="A869" s="220"/>
      <c r="B869" s="221"/>
      <c r="C869" s="222" t="s">
        <v>1235</v>
      </c>
      <c r="D869" s="108">
        <f>SUM(D870,D873)</f>
        <v>7674</v>
      </c>
      <c r="E869" s="108">
        <f>SUM(E870,E873)</f>
        <v>7673.65</v>
      </c>
      <c r="F869" s="223">
        <f t="shared" si="46"/>
        <v>99.99543914516549</v>
      </c>
      <c r="G869" s="226"/>
    </row>
    <row r="870" spans="1:7" s="102" customFormat="1" ht="18" customHeight="1">
      <c r="A870" s="224"/>
      <c r="B870" s="207"/>
      <c r="C870" s="225" t="s">
        <v>1582</v>
      </c>
      <c r="D870" s="209">
        <f>SUM(D871,D872)</f>
        <v>2750</v>
      </c>
      <c r="E870" s="209">
        <f>SUM(E871,E872)</f>
        <v>2749.65</v>
      </c>
      <c r="F870" s="210">
        <f t="shared" si="46"/>
        <v>99.98727272727274</v>
      </c>
      <c r="G870" s="204"/>
    </row>
    <row r="871" spans="1:7" s="205" customFormat="1" ht="18.75" customHeight="1">
      <c r="A871" s="199"/>
      <c r="B871" s="200"/>
      <c r="C871" s="201" t="s">
        <v>1714</v>
      </c>
      <c r="D871" s="202">
        <v>2750</v>
      </c>
      <c r="E871" s="202">
        <v>2749.65</v>
      </c>
      <c r="F871" s="203">
        <f t="shared" si="46"/>
        <v>99.98727272727274</v>
      </c>
      <c r="G871" s="204"/>
    </row>
    <row r="872" spans="1:7" s="205" customFormat="1" ht="18.75" customHeight="1" hidden="1">
      <c r="A872" s="199"/>
      <c r="B872" s="200"/>
      <c r="C872" s="201" t="s">
        <v>1583</v>
      </c>
      <c r="D872" s="202">
        <v>0</v>
      </c>
      <c r="E872" s="202">
        <v>0</v>
      </c>
      <c r="F872" s="203" t="e">
        <f t="shared" si="46"/>
        <v>#DIV/0!</v>
      </c>
      <c r="G872" s="204"/>
    </row>
    <row r="873" spans="1:7" s="102" customFormat="1" ht="18.75" customHeight="1">
      <c r="A873" s="206"/>
      <c r="B873" s="207"/>
      <c r="C873" s="208" t="s">
        <v>1588</v>
      </c>
      <c r="D873" s="209">
        <v>4924</v>
      </c>
      <c r="E873" s="209">
        <v>4924</v>
      </c>
      <c r="F873" s="210">
        <f t="shared" si="46"/>
        <v>100</v>
      </c>
      <c r="G873" s="204"/>
    </row>
    <row r="874" spans="1:7" s="102" customFormat="1" ht="24.75" customHeight="1">
      <c r="A874" s="244" t="s">
        <v>91</v>
      </c>
      <c r="B874" s="212"/>
      <c r="C874" s="228" t="s">
        <v>1247</v>
      </c>
      <c r="D874" s="214">
        <f>SUM(D875,D879,D883,D889)</f>
        <v>1373058</v>
      </c>
      <c r="E874" s="214">
        <f>SUM(E875,E879,E883,E889)</f>
        <v>1005166.87</v>
      </c>
      <c r="F874" s="215">
        <f t="shared" si="46"/>
        <v>73.2064392035879</v>
      </c>
      <c r="G874" s="204"/>
    </row>
    <row r="875" spans="1:7" s="102" customFormat="1" ht="18.75" customHeight="1">
      <c r="A875" s="230"/>
      <c r="B875" s="217" t="s">
        <v>92</v>
      </c>
      <c r="C875" s="107" t="s">
        <v>393</v>
      </c>
      <c r="D875" s="106">
        <f aca="true" t="shared" si="47" ref="D875:E877">SUM(D876)</f>
        <v>275000</v>
      </c>
      <c r="E875" s="106">
        <f t="shared" si="47"/>
        <v>96710.58</v>
      </c>
      <c r="F875" s="210">
        <f t="shared" si="46"/>
        <v>35.16748363636364</v>
      </c>
      <c r="G875" s="204"/>
    </row>
    <row r="876" spans="1:7" s="109" customFormat="1" ht="18.75" customHeight="1">
      <c r="A876" s="220"/>
      <c r="B876" s="221"/>
      <c r="C876" s="222" t="s">
        <v>1235</v>
      </c>
      <c r="D876" s="108">
        <f t="shared" si="47"/>
        <v>275000</v>
      </c>
      <c r="E876" s="108">
        <f t="shared" si="47"/>
        <v>96710.58</v>
      </c>
      <c r="F876" s="223">
        <f t="shared" si="46"/>
        <v>35.16748363636364</v>
      </c>
      <c r="G876" s="226"/>
    </row>
    <row r="877" spans="1:7" s="102" customFormat="1" ht="18" customHeight="1">
      <c r="A877" s="224"/>
      <c r="B877" s="207"/>
      <c r="C877" s="225" t="s">
        <v>1582</v>
      </c>
      <c r="D877" s="209">
        <f t="shared" si="47"/>
        <v>275000</v>
      </c>
      <c r="E877" s="209">
        <f t="shared" si="47"/>
        <v>96710.58</v>
      </c>
      <c r="F877" s="210">
        <f t="shared" si="46"/>
        <v>35.16748363636364</v>
      </c>
      <c r="G877" s="204"/>
    </row>
    <row r="878" spans="1:7" s="205" customFormat="1" ht="18.75" customHeight="1">
      <c r="A878" s="199"/>
      <c r="B878" s="200"/>
      <c r="C878" s="201" t="s">
        <v>1583</v>
      </c>
      <c r="D878" s="202">
        <v>275000</v>
      </c>
      <c r="E878" s="202">
        <v>96710.58</v>
      </c>
      <c r="F878" s="203">
        <f t="shared" si="46"/>
        <v>35.16748363636364</v>
      </c>
      <c r="G878" s="204"/>
    </row>
    <row r="879" spans="1:7" s="102" customFormat="1" ht="18.75" customHeight="1">
      <c r="A879" s="230"/>
      <c r="B879" s="217" t="s">
        <v>1250</v>
      </c>
      <c r="C879" s="107" t="s">
        <v>1251</v>
      </c>
      <c r="D879" s="106">
        <f>SUM(D882)</f>
        <v>4400</v>
      </c>
      <c r="E879" s="106">
        <f>SUM(E882)</f>
        <v>3690</v>
      </c>
      <c r="F879" s="210">
        <f t="shared" si="46"/>
        <v>83.86363636363636</v>
      </c>
      <c r="G879" s="204"/>
    </row>
    <row r="880" spans="1:7" s="109" customFormat="1" ht="18.75" customHeight="1">
      <c r="A880" s="220"/>
      <c r="B880" s="221"/>
      <c r="C880" s="222" t="s">
        <v>1235</v>
      </c>
      <c r="D880" s="108">
        <f>SUM(D881)</f>
        <v>4400</v>
      </c>
      <c r="E880" s="108">
        <f>SUM(E881)</f>
        <v>3690</v>
      </c>
      <c r="F880" s="223">
        <f t="shared" si="46"/>
        <v>83.86363636363636</v>
      </c>
      <c r="G880" s="226"/>
    </row>
    <row r="881" spans="1:7" s="102" customFormat="1" ht="18" customHeight="1">
      <c r="A881" s="224"/>
      <c r="B881" s="207"/>
      <c r="C881" s="225" t="s">
        <v>1582</v>
      </c>
      <c r="D881" s="209">
        <f>SUM(D882)</f>
        <v>4400</v>
      </c>
      <c r="E881" s="209">
        <f>SUM(E882)</f>
        <v>3690</v>
      </c>
      <c r="F881" s="210">
        <f t="shared" si="46"/>
        <v>83.86363636363636</v>
      </c>
      <c r="G881" s="204"/>
    </row>
    <row r="882" spans="1:7" s="205" customFormat="1" ht="18.75" customHeight="1">
      <c r="A882" s="199"/>
      <c r="B882" s="200"/>
      <c r="C882" s="201" t="s">
        <v>1583</v>
      </c>
      <c r="D882" s="202">
        <v>4400</v>
      </c>
      <c r="E882" s="202">
        <v>3690</v>
      </c>
      <c r="F882" s="203">
        <f t="shared" si="46"/>
        <v>83.86363636363636</v>
      </c>
      <c r="G882" s="204"/>
    </row>
    <row r="883" spans="1:8" s="246" customFormat="1" ht="18.75" customHeight="1">
      <c r="A883" s="230"/>
      <c r="B883" s="217" t="s">
        <v>93</v>
      </c>
      <c r="C883" s="218" t="s">
        <v>94</v>
      </c>
      <c r="D883" s="106">
        <f>SUM(D884,D887)</f>
        <v>1031000</v>
      </c>
      <c r="E883" s="106">
        <f>SUM(E884,E887)</f>
        <v>879149.29</v>
      </c>
      <c r="F883" s="219">
        <f t="shared" si="46"/>
        <v>85.27151212415131</v>
      </c>
      <c r="G883" s="204"/>
      <c r="H883" s="102"/>
    </row>
    <row r="884" spans="1:7" s="109" customFormat="1" ht="15" customHeight="1">
      <c r="A884" s="220"/>
      <c r="B884" s="221"/>
      <c r="C884" s="222" t="s">
        <v>1235</v>
      </c>
      <c r="D884" s="108">
        <f>SUM(D885)</f>
        <v>1031000</v>
      </c>
      <c r="E884" s="108">
        <f>SUM(E885)</f>
        <v>879149.29</v>
      </c>
      <c r="F884" s="223">
        <f t="shared" si="46"/>
        <v>85.27151212415131</v>
      </c>
      <c r="G884" s="226"/>
    </row>
    <row r="885" spans="1:7" s="102" customFormat="1" ht="16.5" customHeight="1">
      <c r="A885" s="224"/>
      <c r="B885" s="207"/>
      <c r="C885" s="225" t="s">
        <v>1582</v>
      </c>
      <c r="D885" s="209">
        <f>SUM(D886)</f>
        <v>1031000</v>
      </c>
      <c r="E885" s="209">
        <f>SUM(E886)</f>
        <v>879149.29</v>
      </c>
      <c r="F885" s="210">
        <f t="shared" si="46"/>
        <v>85.27151212415131</v>
      </c>
      <c r="G885" s="204"/>
    </row>
    <row r="886" spans="1:7" s="205" customFormat="1" ht="15.75" customHeight="1">
      <c r="A886" s="199"/>
      <c r="B886" s="200"/>
      <c r="C886" s="201" t="s">
        <v>1583</v>
      </c>
      <c r="D886" s="202">
        <v>1031000</v>
      </c>
      <c r="E886" s="202">
        <v>879149.29</v>
      </c>
      <c r="F886" s="203">
        <f t="shared" si="46"/>
        <v>85.27151212415131</v>
      </c>
      <c r="G886" s="204"/>
    </row>
    <row r="887" spans="1:7" s="236" customFormat="1" ht="18.75" customHeight="1" hidden="1">
      <c r="A887" s="231"/>
      <c r="B887" s="232"/>
      <c r="C887" s="233" t="s">
        <v>1585</v>
      </c>
      <c r="D887" s="234">
        <f>SUM(D888)</f>
        <v>0</v>
      </c>
      <c r="E887" s="234">
        <f>SUM(E888)</f>
        <v>0</v>
      </c>
      <c r="F887" s="235" t="e">
        <f t="shared" si="46"/>
        <v>#DIV/0!</v>
      </c>
      <c r="G887" s="2005"/>
    </row>
    <row r="888" spans="1:7" s="243" customFormat="1" ht="25.5" customHeight="1" hidden="1">
      <c r="A888" s="237"/>
      <c r="B888" s="238"/>
      <c r="C888" s="239" t="s">
        <v>293</v>
      </c>
      <c r="D888" s="240">
        <v>0</v>
      </c>
      <c r="E888" s="240">
        <v>0</v>
      </c>
      <c r="F888" s="241" t="e">
        <f t="shared" si="46"/>
        <v>#DIV/0!</v>
      </c>
      <c r="G888" s="2005"/>
    </row>
    <row r="889" spans="1:8" s="246" customFormat="1" ht="18.75" customHeight="1">
      <c r="A889" s="230"/>
      <c r="B889" s="217" t="s">
        <v>95</v>
      </c>
      <c r="C889" s="218" t="s">
        <v>215</v>
      </c>
      <c r="D889" s="106">
        <f>SUM(D892)</f>
        <v>62658</v>
      </c>
      <c r="E889" s="106">
        <f>SUM(E892)</f>
        <v>25617</v>
      </c>
      <c r="F889" s="219">
        <f>E889/D889*100</f>
        <v>40.88384563822656</v>
      </c>
      <c r="G889" s="204"/>
      <c r="H889" s="102"/>
    </row>
    <row r="890" spans="1:7" s="109" customFormat="1" ht="15" customHeight="1">
      <c r="A890" s="220"/>
      <c r="B890" s="221"/>
      <c r="C890" s="222" t="s">
        <v>1235</v>
      </c>
      <c r="D890" s="108">
        <f>SUM(D891)</f>
        <v>62658</v>
      </c>
      <c r="E890" s="108">
        <f>SUM(E891)</f>
        <v>25617</v>
      </c>
      <c r="F890" s="223">
        <f>E890/D890*100</f>
        <v>40.88384563822656</v>
      </c>
      <c r="G890" s="226"/>
    </row>
    <row r="891" spans="1:7" s="102" customFormat="1" ht="16.5" customHeight="1">
      <c r="A891" s="224"/>
      <c r="B891" s="207"/>
      <c r="C891" s="225" t="s">
        <v>1582</v>
      </c>
      <c r="D891" s="209">
        <f>SUM(D892)</f>
        <v>62658</v>
      </c>
      <c r="E891" s="209">
        <f>SUM(E892)</f>
        <v>25617</v>
      </c>
      <c r="F891" s="210">
        <f>E891/D891*100</f>
        <v>40.88384563822656</v>
      </c>
      <c r="G891" s="204"/>
    </row>
    <row r="892" spans="1:7" s="205" customFormat="1" ht="15.75" customHeight="1">
      <c r="A892" s="257"/>
      <c r="B892" s="258"/>
      <c r="C892" s="259" t="s">
        <v>1583</v>
      </c>
      <c r="D892" s="260">
        <v>62658</v>
      </c>
      <c r="E892" s="260">
        <v>25617</v>
      </c>
      <c r="F892" s="261">
        <f>E892/D892*100</f>
        <v>40.88384563822656</v>
      </c>
      <c r="G892" s="204"/>
    </row>
    <row r="893" spans="1:8" s="110" customFormat="1" ht="18.75" customHeight="1">
      <c r="A893" s="196"/>
      <c r="B893" s="197"/>
      <c r="C893" s="268" t="s">
        <v>945</v>
      </c>
      <c r="D893" s="104">
        <f>SUM(D894,D904)</f>
        <v>156373374.57</v>
      </c>
      <c r="E893" s="2185">
        <f>SUM(E894,E904)</f>
        <v>142127587.89000002</v>
      </c>
      <c r="F893" s="111">
        <f aca="true" t="shared" si="48" ref="F893:F904">E893/D893*100</f>
        <v>90.8898898427092</v>
      </c>
      <c r="G893" s="96"/>
      <c r="H893" s="97"/>
    </row>
    <row r="894" spans="1:7" s="132" customFormat="1" ht="18.75" customHeight="1">
      <c r="A894" s="126"/>
      <c r="B894" s="127"/>
      <c r="C894" s="128" t="s">
        <v>1235</v>
      </c>
      <c r="D894" s="129">
        <f>SUM(D895,D898,D900,D901,D902,D903)</f>
        <v>121103277.57</v>
      </c>
      <c r="E894" s="129">
        <f>SUM(E895,E898,E900,E901,E902,E903)</f>
        <v>111548241.10000001</v>
      </c>
      <c r="F894" s="130">
        <f t="shared" si="48"/>
        <v>92.11001001646963</v>
      </c>
      <c r="G894" s="131"/>
    </row>
    <row r="895" spans="1:7" s="139" customFormat="1" ht="18" customHeight="1">
      <c r="A895" s="133"/>
      <c r="B895" s="134"/>
      <c r="C895" s="135" t="s">
        <v>1582</v>
      </c>
      <c r="D895" s="136">
        <f>SUM(D896,D897)</f>
        <v>85600507.57</v>
      </c>
      <c r="E895" s="136">
        <f>SUM(E896,E897)</f>
        <v>81226819.32000001</v>
      </c>
      <c r="F895" s="137">
        <f t="shared" si="48"/>
        <v>94.89058140639716</v>
      </c>
      <c r="G895" s="138"/>
    </row>
    <row r="896" spans="1:7" s="145" customFormat="1" ht="18.75" customHeight="1">
      <c r="A896" s="140"/>
      <c r="B896" s="141"/>
      <c r="C896" s="142" t="s">
        <v>1583</v>
      </c>
      <c r="D896" s="143">
        <f>SUM(D13,D20,D25,D30,D36,D43,D50,D58,D64,D81,D87,D95,D99,D103,D111,D116,D124,D133,D139,D145,D162,D168,D175,D182,D190,D195,D201,D208+D212+D218+D224+D235+D241+D251+D257+D266+D272+D280+D284+D289+D297+D306+D314+D319+D325+D337+D345+D351+D361+D355+D372+D384+D399+D407+D416+D425+D434+D445+D453+D460+D466+D471+D477+D484+D489+D496+D501+D510+D515+D526+D544+D552+D566)+D367</f>
        <v>39509562.57</v>
      </c>
      <c r="E896" s="143">
        <f>SUM(E13,E20,E25,E30,E36,E43,E50,E58,E64,E81,E87,E95,E99,E103,E111,E116,E124,E133,E139,E145,E162,E168,E175,E182,E190,E195,E201,E208+E212+E218+E224+E235+E241+E251+E257+E266+E272+E280+E284+E289+E297+E306+E314+E319+E325+E337+E345+E351+E361+E355+E372+E384+E399+E407+E416+E425+E434+E445+E453+E460+E466+E471+E477+E484+E489+E496+E501+E510+E515+E526+E544+E552+E566)+E367</f>
        <v>35556842.690000005</v>
      </c>
      <c r="F896" s="144">
        <f t="shared" si="48"/>
        <v>89.99553621228564</v>
      </c>
      <c r="G896" s="138"/>
    </row>
    <row r="897" spans="1:7" s="145" customFormat="1" ht="18.75" customHeight="1">
      <c r="A897" s="140"/>
      <c r="B897" s="141"/>
      <c r="C897" s="142" t="s">
        <v>1714</v>
      </c>
      <c r="D897" s="143">
        <f>SUM(D12,D35,D49,D57,D63,D80,D94,D110,D115,D123,D132,D138,D144,D157,D161,D167,D181,D194,D200,D217,D240,D250,D256,D265,D271,D288,D296,D305,D313)+D324+D336+D360+D366+D371+D378+D383+D398+D406+D415+D424+D433+D444+D452+D470+D488+D514+D551+D565+D478</f>
        <v>46090945</v>
      </c>
      <c r="E897" s="143">
        <f>SUM(E12,E35,E49,E57,E63,E80,E94,E110,E115,E123,E132,E138,E144,E157,E161,E167,E181,E194,E200,E217,E240,E250,E256,E265,E271,E288,E296,E305,E313)+E324+E336+E360+E366+E371+E378+E383+E398+E406+E415+E424+E433+E444+E452+E470+E488+E514+E551+E565+E478</f>
        <v>45669976.63</v>
      </c>
      <c r="F897" s="144">
        <f t="shared" si="48"/>
        <v>99.08665710802849</v>
      </c>
      <c r="G897" s="138"/>
    </row>
    <row r="898" spans="1:7" s="139" customFormat="1" ht="18.75" customHeight="1" hidden="1">
      <c r="A898" s="171"/>
      <c r="B898" s="262"/>
      <c r="C898" s="135" t="s">
        <v>1595</v>
      </c>
      <c r="D898" s="136">
        <f>SUM(D899)</f>
        <v>0</v>
      </c>
      <c r="E898" s="136">
        <f>SUM(E899)</f>
        <v>0</v>
      </c>
      <c r="F898" s="354" t="e">
        <f>SUM(F899)</f>
        <v>#DIV/0!</v>
      </c>
      <c r="G898" s="151"/>
    </row>
    <row r="899" spans="1:7" s="145" customFormat="1" ht="18.75" customHeight="1" hidden="1">
      <c r="A899" s="140"/>
      <c r="B899" s="141"/>
      <c r="C899" s="142" t="s">
        <v>100</v>
      </c>
      <c r="D899" s="355">
        <f>SUM(D147)</f>
        <v>0</v>
      </c>
      <c r="E899" s="355">
        <f>SUM(E147)</f>
        <v>0</v>
      </c>
      <c r="F899" s="355" t="e">
        <f>SUM(F147)</f>
        <v>#DIV/0!</v>
      </c>
      <c r="G899" s="138"/>
    </row>
    <row r="900" spans="1:7" s="139" customFormat="1" ht="18.75" customHeight="1">
      <c r="A900" s="171"/>
      <c r="B900" s="262"/>
      <c r="C900" s="135" t="s">
        <v>1584</v>
      </c>
      <c r="D900" s="136">
        <f>SUM(D16,D73,D148,D196,D231,D243,D252,D258,D267,D274,D298,D307,D320,D326,D332,D338,D356,D373,D379,D385,D393,D427,D435,D462,D497,D506,D517,D527,D533,D538)+D553+D567+D300+D315+D362</f>
        <v>14555861</v>
      </c>
      <c r="E900" s="136">
        <f>SUM(E16,E73,E148,E196,E231,E243,E252,E258,E267,E274,E298,E307,E320,E326,E332,E338,E356,E373,E379,E385,E393,E427,E435,E462,E497,E506,E517,E527,E533,E538)+E553+E567+E300+E315+E362</f>
        <v>13472744.530000001</v>
      </c>
      <c r="F900" s="137">
        <f t="shared" si="48"/>
        <v>92.55889795869857</v>
      </c>
      <c r="G900" s="151"/>
    </row>
    <row r="901" spans="1:7" s="139" customFormat="1" ht="18.75" customHeight="1">
      <c r="A901" s="171"/>
      <c r="B901" s="262"/>
      <c r="C901" s="194" t="s">
        <v>1588</v>
      </c>
      <c r="D901" s="136">
        <f>SUM(D117,D125,D134,D140,D150,D163,D169,D183,D202,D242,D259,D273,D290,D299,D374,D386,D390,D394,D400,D408,D411,D417,D426,D446,D454,D461,D472,D516,D554,D568)</f>
        <v>11784806</v>
      </c>
      <c r="E901" s="136">
        <f>SUM(E117,E125,E134,E140,E150,E163,E169,E183,E202,E242,E259,E273,E290,E299,E374,E386,E390,E394,E400,E408,E411,E417,E426,E446,E454,E461,E472,E516,E554,E568)</f>
        <v>11466838.86</v>
      </c>
      <c r="F901" s="137">
        <f t="shared" si="48"/>
        <v>97.3018890595229</v>
      </c>
      <c r="G901" s="138"/>
    </row>
    <row r="902" spans="1:9" s="1020" customFormat="1" ht="18.75" customHeight="1">
      <c r="A902" s="1022"/>
      <c r="B902" s="1023"/>
      <c r="C902" s="1024" t="s">
        <v>1596</v>
      </c>
      <c r="D902" s="1017">
        <f>SUM(D65,D126,D149,D184,D387,D436)</f>
        <v>368000</v>
      </c>
      <c r="E902" s="1017">
        <f>SUM(E65,E126,E149,E184,E387,E436)</f>
        <v>287530.24</v>
      </c>
      <c r="F902" s="1018">
        <f t="shared" si="48"/>
        <v>78.13321739130434</v>
      </c>
      <c r="G902" s="1025"/>
      <c r="I902" s="1020" t="s">
        <v>1633</v>
      </c>
    </row>
    <row r="903" spans="1:7" s="139" customFormat="1" ht="21.75" customHeight="1">
      <c r="A903" s="1720"/>
      <c r="B903" s="1721"/>
      <c r="C903" s="1722" t="s">
        <v>1590</v>
      </c>
      <c r="D903" s="1723">
        <f>SUM(D219)</f>
        <v>8794103</v>
      </c>
      <c r="E903" s="1723">
        <f>SUM(E222)</f>
        <v>5094308.15</v>
      </c>
      <c r="F903" s="1724">
        <f t="shared" si="48"/>
        <v>57.92868414208932</v>
      </c>
      <c r="G903" s="1719"/>
    </row>
    <row r="904" spans="1:7" s="132" customFormat="1" ht="18.75" customHeight="1">
      <c r="A904" s="126"/>
      <c r="B904" s="127"/>
      <c r="C904" s="128" t="s">
        <v>1585</v>
      </c>
      <c r="D904" s="129">
        <f>SUM(D905,D906,D907)</f>
        <v>35270097</v>
      </c>
      <c r="E904" s="129">
        <f>SUM(E905,E906,E907)</f>
        <v>30579346.79</v>
      </c>
      <c r="F904" s="130">
        <f t="shared" si="48"/>
        <v>86.70048962439768</v>
      </c>
      <c r="G904" s="131"/>
    </row>
    <row r="905" spans="1:7" s="139" customFormat="1" ht="26.25" customHeight="1">
      <c r="A905" s="133"/>
      <c r="B905" s="134"/>
      <c r="C905" s="135" t="s">
        <v>293</v>
      </c>
      <c r="D905" s="136">
        <f>SUM(D38,D52,D68,D75,D83,D89,D105,D119,D128,D152,D245,D261,D292,D309,D328,D340,D402,D429,D438,D456,D491,D503,D519,D529,D535,D540,D547,D556,D560,D570)+D204+D275+D347+D419+D448+D480</f>
        <v>25129962</v>
      </c>
      <c r="E905" s="136">
        <f>SUM(E38,E52,E68,E75,E83,E89,E105,E119,E128,E152,E245,E261,E292,E309,E328,E340,E402,E429,E438,E456,E491,E503,E519,E529,E535,E540,E547,E556,E560,E570)+E204+E275+E347+E419+E448+E480</f>
        <v>21475226.599999998</v>
      </c>
      <c r="F905" s="137">
        <f>E905/D905*100</f>
        <v>85.45666165352736</v>
      </c>
      <c r="G905" s="151"/>
    </row>
    <row r="906" spans="1:7" s="1020" customFormat="1" ht="18" customHeight="1">
      <c r="A906" s="1026"/>
      <c r="B906" s="1015"/>
      <c r="C906" s="1027" t="s">
        <v>1596</v>
      </c>
      <c r="D906" s="1017">
        <f>SUM(D53,D69,D76,D186,D246,D329,D439,D492,D520,D530,D546,D561)</f>
        <v>10139976</v>
      </c>
      <c r="E906" s="1017">
        <f>SUM(E53,E69,E76,E186,E246,E329,E439,E492,E520,E530,E546,E561)</f>
        <v>9104127.05</v>
      </c>
      <c r="F906" s="1018">
        <f>E906/D906*100</f>
        <v>89.78450294162432</v>
      </c>
      <c r="G906" s="1025"/>
    </row>
    <row r="907" spans="1:7" s="125" customFormat="1" ht="42" customHeight="1">
      <c r="A907" s="269"/>
      <c r="B907" s="270"/>
      <c r="C907" s="271" t="s">
        <v>221</v>
      </c>
      <c r="D907" s="272">
        <f>SUM(D45,D521)</f>
        <v>159</v>
      </c>
      <c r="E907" s="272">
        <f>SUM(E45,E521)</f>
        <v>-6.86</v>
      </c>
      <c r="F907" s="273">
        <f>E907/D907*100</f>
        <v>-4.314465408805032</v>
      </c>
      <c r="G907" s="124"/>
    </row>
    <row r="908" spans="1:10" s="110" customFormat="1" ht="18.75" customHeight="1">
      <c r="A908" s="196"/>
      <c r="B908" s="197"/>
      <c r="C908" s="268" t="s">
        <v>1658</v>
      </c>
      <c r="D908" s="104">
        <f>SUM(D909,D918)</f>
        <v>86611055.99</v>
      </c>
      <c r="E908" s="104">
        <f>SUM(E909,E918)</f>
        <v>83848437.74999999</v>
      </c>
      <c r="F908" s="353">
        <f>E908/D908*100</f>
        <v>96.81031687187952</v>
      </c>
      <c r="G908" s="321"/>
      <c r="H908" s="322"/>
      <c r="I908" s="316"/>
      <c r="J908" s="316"/>
    </row>
    <row r="909" spans="1:7" s="132" customFormat="1" ht="18.75" customHeight="1">
      <c r="A909" s="126"/>
      <c r="B909" s="127"/>
      <c r="C909" s="128" t="s">
        <v>1235</v>
      </c>
      <c r="D909" s="129">
        <f>SUM(D910,D913,D914,D915,D916,D917)</f>
        <v>73100011.99</v>
      </c>
      <c r="E909" s="129">
        <f>SUM(E910,E913,E914,E915,E916,E917)</f>
        <v>70669127.32</v>
      </c>
      <c r="F909" s="130">
        <f aca="true" t="shared" si="49" ref="F909:F918">E909/D909*100</f>
        <v>96.67457692027116</v>
      </c>
      <c r="G909" s="131"/>
    </row>
    <row r="910" spans="1:7" s="139" customFormat="1" ht="18" customHeight="1">
      <c r="A910" s="133"/>
      <c r="B910" s="134"/>
      <c r="C910" s="135" t="s">
        <v>1582</v>
      </c>
      <c r="D910" s="136">
        <f>SUM(D911,D912)</f>
        <v>64368097.989999995</v>
      </c>
      <c r="E910" s="136">
        <f>SUM(E911,E912)</f>
        <v>62114137.56999999</v>
      </c>
      <c r="F910" s="137">
        <f t="shared" si="49"/>
        <v>96.49832682589104</v>
      </c>
      <c r="G910" s="138"/>
    </row>
    <row r="911" spans="1:7" s="145" customFormat="1" ht="18.75" customHeight="1">
      <c r="A911" s="140"/>
      <c r="B911" s="141"/>
      <c r="C911" s="142" t="s">
        <v>1583</v>
      </c>
      <c r="D911" s="143">
        <f>SUM(D579,D590,D597,D601,D609,D621,D626,D631,D635,D650,D658,D672,D677,D682,D692,D702,D707,D712,D717,D724,D732,D740,D746,D751,D757,D763,D770,D778,D783)+D788+D793+D808+D813+D821+D831+D837+D843+D851+D859+D867+D872+D878+D882+D886+D892+D802+D662</f>
        <v>28751655</v>
      </c>
      <c r="E911" s="143">
        <f>SUM(E579,E590,E597,E601,E609,E621,E626,E631,E635,E650,E658,E672,E677,E682,E692,E702,E707,E712,E717,E724,E732,E740,E746,E751,E757,E763,E770,E778,E783)+E788+E793+E808+E813+E821+E831+E837+E843+E851+E859+E867+E872+E878+E882+E886+E892+E802+E662</f>
        <v>26542719.569999997</v>
      </c>
      <c r="F911" s="144">
        <f t="shared" si="49"/>
        <v>92.31718859314358</v>
      </c>
      <c r="G911" s="138"/>
    </row>
    <row r="912" spans="1:7" s="145" customFormat="1" ht="18.75" customHeight="1">
      <c r="A912" s="140"/>
      <c r="B912" s="141"/>
      <c r="C912" s="142" t="s">
        <v>1714</v>
      </c>
      <c r="D912" s="143">
        <f>SUM(D580,D602,D610,D622,D627,D636,D649,D671,D676,D681,D691,D701,D706,D716,D723,D731,D745,D756,D769,D777,D782,D787,D792,D807,D812,D820,D830,D836,D842,D850)+D858+D871+D750</f>
        <v>35616442.989999995</v>
      </c>
      <c r="E912" s="143">
        <f>SUM(E580,E602,E610,E622,E627,E636,E649,E671,E676,E681,E691,E701,E706,E716,E723,E731,E745,E756,E769,E777,E782,E787,E792,E807,E812,E820,E830,E836,E842,E850)+E858+E871+E750</f>
        <v>35571417.99999999</v>
      </c>
      <c r="F912" s="144">
        <f t="shared" si="49"/>
        <v>99.87358369837031</v>
      </c>
      <c r="G912" s="138"/>
    </row>
    <row r="913" spans="1:7" s="139" customFormat="1" ht="18.75" customHeight="1" hidden="1">
      <c r="A913" s="171"/>
      <c r="B913" s="262"/>
      <c r="C913" s="135" t="s">
        <v>1595</v>
      </c>
      <c r="D913" s="136"/>
      <c r="E913" s="136"/>
      <c r="F913" s="137" t="e">
        <f t="shared" si="49"/>
        <v>#DIV/0!</v>
      </c>
      <c r="G913" s="151"/>
    </row>
    <row r="914" spans="1:7" s="139" customFormat="1" ht="18.75" customHeight="1">
      <c r="A914" s="171"/>
      <c r="B914" s="262"/>
      <c r="C914" s="135" t="s">
        <v>1584</v>
      </c>
      <c r="D914" s="136">
        <f>SUM(D603,D640,D645,D652,D683,D693,D725,D733,D741,D758,D771,D798,D803,D838,D863)</f>
        <v>2938251</v>
      </c>
      <c r="E914" s="136">
        <f>SUM(E603,E640,E645,E652,E683,E693,E725,E733,E741,E758,E771,E798,E803,E838,E863)</f>
        <v>2894948.8</v>
      </c>
      <c r="F914" s="137">
        <f t="shared" si="49"/>
        <v>98.52625932910428</v>
      </c>
      <c r="G914" s="151"/>
    </row>
    <row r="915" spans="1:7" s="139" customFormat="1" ht="18.75" customHeight="1">
      <c r="A915" s="171"/>
      <c r="B915" s="262"/>
      <c r="C915" s="194" t="s">
        <v>1588</v>
      </c>
      <c r="D915" s="136">
        <f>SUM(D582,D611,D651,D684,D694,D708,D718,D759,D772,D794,D814,D832,D844,D852,D860,D873)</f>
        <v>1981100</v>
      </c>
      <c r="E915" s="136">
        <f>SUM(E582,E611,E651,E684,E694,E708,E718,E759,E772,E794,E814,E832,E844,E852,E860,E873)</f>
        <v>1941874.52</v>
      </c>
      <c r="F915" s="137">
        <f t="shared" si="49"/>
        <v>98.02001514310231</v>
      </c>
      <c r="G915" s="138"/>
    </row>
    <row r="916" spans="1:7" s="1020" customFormat="1" ht="18.75" customHeight="1">
      <c r="A916" s="1022"/>
      <c r="B916" s="1023"/>
      <c r="C916" s="1024" t="s">
        <v>1596</v>
      </c>
      <c r="D916" s="1017">
        <f>SUM(D581,D695,D773,D822)</f>
        <v>80893</v>
      </c>
      <c r="E916" s="1017">
        <f>SUM(E581,E695,E773,E822)</f>
        <v>72258.19</v>
      </c>
      <c r="F916" s="1018">
        <f t="shared" si="49"/>
        <v>89.32564004301979</v>
      </c>
      <c r="G916" s="1025"/>
    </row>
    <row r="917" spans="1:7" s="139" customFormat="1" ht="21.75" customHeight="1">
      <c r="A917" s="169"/>
      <c r="B917" s="267"/>
      <c r="C917" s="194" t="s">
        <v>1590</v>
      </c>
      <c r="D917" s="136">
        <f>D663</f>
        <v>3731670</v>
      </c>
      <c r="E917" s="136">
        <f>E663</f>
        <v>3645908.24</v>
      </c>
      <c r="F917" s="137">
        <f t="shared" si="49"/>
        <v>97.70178606361227</v>
      </c>
      <c r="G917" s="151"/>
    </row>
    <row r="918" spans="1:7" s="132" customFormat="1" ht="17.25" customHeight="1">
      <c r="A918" s="126"/>
      <c r="B918" s="127"/>
      <c r="C918" s="128" t="s">
        <v>1585</v>
      </c>
      <c r="D918" s="129">
        <f>SUM(D919,D920)</f>
        <v>13511044</v>
      </c>
      <c r="E918" s="129">
        <f>SUM(E919,E920)</f>
        <v>13179310.429999998</v>
      </c>
      <c r="F918" s="130">
        <f t="shared" si="49"/>
        <v>97.54472289484067</v>
      </c>
      <c r="G918" s="131"/>
    </row>
    <row r="919" spans="1:7" s="139" customFormat="1" ht="26.25" customHeight="1">
      <c r="A919" s="133"/>
      <c r="B919" s="134"/>
      <c r="C919" s="135" t="s">
        <v>293</v>
      </c>
      <c r="D919" s="136">
        <f>SUM(D575,D584,D592,D605,D613,D616,D642,D654,D686,D697,D727,D735,D765,D816,D846,D854,D888)</f>
        <v>11035739</v>
      </c>
      <c r="E919" s="136">
        <f>SUM(E575,E584,E592,E605,E613,E616,E642,E654,E686,E697,E727,E735,E765,E816,E846,E854,E888)</f>
        <v>10779326.429999998</v>
      </c>
      <c r="F919" s="137">
        <f>E919/D919*100</f>
        <v>97.67652560467404</v>
      </c>
      <c r="G919" s="151"/>
    </row>
    <row r="920" spans="1:7" s="1020" customFormat="1" ht="18.75" customHeight="1">
      <c r="A920" s="1028"/>
      <c r="B920" s="1029"/>
      <c r="C920" s="1030" t="s">
        <v>1596</v>
      </c>
      <c r="D920" s="1031">
        <f>SUM(D585,D687,D736,D825)</f>
        <v>2475305</v>
      </c>
      <c r="E920" s="1031">
        <f>SUM(E585,E687,E736,E825)</f>
        <v>2399984</v>
      </c>
      <c r="F920" s="1032">
        <f>E920/D920*100</f>
        <v>96.95710225608562</v>
      </c>
      <c r="G920" s="2197"/>
    </row>
    <row r="921" spans="1:7" s="285" customFormat="1" ht="20.25" customHeight="1">
      <c r="A921" s="280"/>
      <c r="B921" s="281"/>
      <c r="C921" s="282" t="s">
        <v>66</v>
      </c>
      <c r="D921" s="283">
        <f>SUM(D922,D932)</f>
        <v>242984430.56</v>
      </c>
      <c r="E921" s="2198">
        <f>SUM(E922,E932)</f>
        <v>225976025.64000002</v>
      </c>
      <c r="F921" s="2199">
        <f aca="true" t="shared" si="50" ref="F921:F932">E921/D921*100</f>
        <v>93.00020792245776</v>
      </c>
      <c r="G921" s="284"/>
    </row>
    <row r="922" spans="1:7" s="279" customFormat="1" ht="14.25" customHeight="1">
      <c r="A922" s="274"/>
      <c r="B922" s="275"/>
      <c r="C922" s="276" t="s">
        <v>1235</v>
      </c>
      <c r="D922" s="277">
        <f>SUM(D923,D926,D928,D929,D930,D931)</f>
        <v>194203289.56</v>
      </c>
      <c r="E922" s="2200">
        <f>SUM(E923,E926,E928,E929,E930,E931)</f>
        <v>182217368.42000002</v>
      </c>
      <c r="F922" s="2201">
        <f t="shared" si="50"/>
        <v>93.82815751105139</v>
      </c>
      <c r="G922" s="278"/>
    </row>
    <row r="923" spans="1:7" s="297" customFormat="1" ht="18" customHeight="1">
      <c r="A923" s="301"/>
      <c r="B923" s="302"/>
      <c r="C923" s="300" t="s">
        <v>1582</v>
      </c>
      <c r="D923" s="295">
        <f>SUM(D924,D925)</f>
        <v>149968605.56</v>
      </c>
      <c r="E923" s="2202">
        <f>SUM(E924,E925)</f>
        <v>143340956.89</v>
      </c>
      <c r="F923" s="2203">
        <f t="shared" si="50"/>
        <v>95.5806425983281</v>
      </c>
      <c r="G923" s="290"/>
    </row>
    <row r="924" spans="1:7" s="291" customFormat="1" ht="18.75" customHeight="1">
      <c r="A924" s="286"/>
      <c r="B924" s="287"/>
      <c r="C924" s="288" t="s">
        <v>1583</v>
      </c>
      <c r="D924" s="289">
        <f>SUM(D896,D911)</f>
        <v>68261217.57</v>
      </c>
      <c r="E924" s="2204">
        <f>SUM(E896,E911)</f>
        <v>62099562.260000005</v>
      </c>
      <c r="F924" s="2205">
        <f t="shared" si="50"/>
        <v>90.9734172208672</v>
      </c>
      <c r="G924" s="290"/>
    </row>
    <row r="925" spans="1:7" s="291" customFormat="1" ht="18.75" customHeight="1">
      <c r="A925" s="286"/>
      <c r="B925" s="287"/>
      <c r="C925" s="288" t="s">
        <v>1714</v>
      </c>
      <c r="D925" s="289">
        <f>SUM(D897,D912)</f>
        <v>81707387.99</v>
      </c>
      <c r="E925" s="2204">
        <f>SUM(E897,E912)</f>
        <v>81241394.63</v>
      </c>
      <c r="F925" s="2205">
        <f t="shared" si="50"/>
        <v>99.42968026335998</v>
      </c>
      <c r="G925" s="290"/>
    </row>
    <row r="926" spans="1:7" s="62" customFormat="1" ht="18.75" customHeight="1" hidden="1">
      <c r="A926" s="67"/>
      <c r="B926" s="68"/>
      <c r="C926" s="60" t="s">
        <v>1595</v>
      </c>
      <c r="D926" s="61">
        <f>SUM(D898)</f>
        <v>0</v>
      </c>
      <c r="E926" s="2206">
        <f>SUM(E898)</f>
        <v>0</v>
      </c>
      <c r="F926" s="2207" t="e">
        <f t="shared" si="50"/>
        <v>#DIV/0!</v>
      </c>
      <c r="G926" s="69"/>
    </row>
    <row r="927" spans="1:7" s="35" customFormat="1" ht="18.75" customHeight="1" hidden="1">
      <c r="A927" s="63"/>
      <c r="B927" s="64"/>
      <c r="C927" s="65" t="s">
        <v>100</v>
      </c>
      <c r="D927" s="66">
        <f>D899</f>
        <v>0</v>
      </c>
      <c r="E927" s="2208">
        <f>E899</f>
        <v>0</v>
      </c>
      <c r="F927" s="2209" t="e">
        <f t="shared" si="50"/>
        <v>#DIV/0!</v>
      </c>
      <c r="G927" s="28"/>
    </row>
    <row r="928" spans="1:7" s="297" customFormat="1" ht="18.75" customHeight="1">
      <c r="A928" s="298"/>
      <c r="B928" s="299"/>
      <c r="C928" s="300" t="s">
        <v>1584</v>
      </c>
      <c r="D928" s="295">
        <f aca="true" t="shared" si="51" ref="D928:E930">SUM(D900,D914)</f>
        <v>17494112</v>
      </c>
      <c r="E928" s="2202">
        <f t="shared" si="51"/>
        <v>16367693.330000002</v>
      </c>
      <c r="F928" s="2203">
        <f t="shared" si="50"/>
        <v>93.56115549048732</v>
      </c>
      <c r="G928" s="296"/>
    </row>
    <row r="929" spans="1:7" s="297" customFormat="1" ht="18.75" customHeight="1">
      <c r="A929" s="298"/>
      <c r="B929" s="299"/>
      <c r="C929" s="294" t="s">
        <v>1588</v>
      </c>
      <c r="D929" s="295">
        <f t="shared" si="51"/>
        <v>13765906</v>
      </c>
      <c r="E929" s="2202">
        <f t="shared" si="51"/>
        <v>13408713.379999999</v>
      </c>
      <c r="F929" s="2203">
        <f t="shared" si="50"/>
        <v>97.4052371126172</v>
      </c>
      <c r="G929" s="290"/>
    </row>
    <row r="930" spans="1:7" s="297" customFormat="1" ht="18" customHeight="1">
      <c r="A930" s="292"/>
      <c r="B930" s="293"/>
      <c r="C930" s="294" t="s">
        <v>1596</v>
      </c>
      <c r="D930" s="295">
        <f t="shared" si="51"/>
        <v>448893</v>
      </c>
      <c r="E930" s="2202">
        <f t="shared" si="51"/>
        <v>359788.43</v>
      </c>
      <c r="F930" s="2203">
        <f t="shared" si="50"/>
        <v>80.15015382284865</v>
      </c>
      <c r="G930" s="296"/>
    </row>
    <row r="931" spans="1:7" s="297" customFormat="1" ht="18" customHeight="1">
      <c r="A931" s="292"/>
      <c r="B931" s="293"/>
      <c r="C931" s="294" t="s">
        <v>1590</v>
      </c>
      <c r="D931" s="295">
        <f>SUM(D917,D903)</f>
        <v>12525773</v>
      </c>
      <c r="E931" s="2202">
        <f>SUM(E917,E903)</f>
        <v>8740216.39</v>
      </c>
      <c r="F931" s="2203">
        <f t="shared" si="50"/>
        <v>69.77786033644391</v>
      </c>
      <c r="G931" s="296"/>
    </row>
    <row r="932" spans="1:7" s="279" customFormat="1" ht="18.75" customHeight="1">
      <c r="A932" s="274"/>
      <c r="B932" s="275"/>
      <c r="C932" s="276" t="s">
        <v>1585</v>
      </c>
      <c r="D932" s="277">
        <f>SUM(D933,D934,D935)</f>
        <v>48781141</v>
      </c>
      <c r="E932" s="2200">
        <f>SUM(E933,E934,E935)</f>
        <v>43758657.22</v>
      </c>
      <c r="F932" s="2201">
        <f t="shared" si="50"/>
        <v>89.70404611897044</v>
      </c>
      <c r="G932" s="278"/>
    </row>
    <row r="933" spans="1:7" s="297" customFormat="1" ht="37.5" customHeight="1">
      <c r="A933" s="301"/>
      <c r="B933" s="302"/>
      <c r="C933" s="300" t="s">
        <v>293</v>
      </c>
      <c r="D933" s="295">
        <f>SUM(D905,D919)</f>
        <v>36165701</v>
      </c>
      <c r="E933" s="2202">
        <f>SUM(E905,E919)</f>
        <v>32254553.029999994</v>
      </c>
      <c r="F933" s="2203">
        <f>E933/D933*100</f>
        <v>89.18547722882516</v>
      </c>
      <c r="G933" s="296"/>
    </row>
    <row r="934" spans="1:7" s="297" customFormat="1" ht="18.75" customHeight="1">
      <c r="A934" s="301"/>
      <c r="B934" s="302"/>
      <c r="C934" s="300" t="s">
        <v>1596</v>
      </c>
      <c r="D934" s="295">
        <f>SUM(D906,D920)</f>
        <v>12615281</v>
      </c>
      <c r="E934" s="2202">
        <f>SUM(E906,E920)</f>
        <v>11504111.05</v>
      </c>
      <c r="F934" s="2203">
        <f>E934/D934*100</f>
        <v>91.19187317349491</v>
      </c>
      <c r="G934" s="296"/>
    </row>
    <row r="935" spans="1:7" s="308" customFormat="1" ht="42" customHeight="1" thickBot="1">
      <c r="A935" s="303"/>
      <c r="B935" s="304"/>
      <c r="C935" s="305" t="s">
        <v>221</v>
      </c>
      <c r="D935" s="306">
        <f>SUM(D907)</f>
        <v>159</v>
      </c>
      <c r="E935" s="2210">
        <f>SUM(E907)</f>
        <v>-6.86</v>
      </c>
      <c r="F935" s="2211">
        <f>E935/D935*100</f>
        <v>-4.314465408805032</v>
      </c>
      <c r="G935" s="307"/>
    </row>
    <row r="936" spans="1:10" s="110" customFormat="1" ht="18.75" customHeight="1">
      <c r="A936" s="309"/>
      <c r="B936" s="310"/>
      <c r="C936" s="311" t="s">
        <v>97</v>
      </c>
      <c r="D936" s="312">
        <f>SUM(D893,D908)</f>
        <v>242984430.56</v>
      </c>
      <c r="E936" s="312">
        <f>SUM(E893,E908)</f>
        <v>225976025.64</v>
      </c>
      <c r="F936" s="313">
        <f>E936/D936*100</f>
        <v>93.00020792245776</v>
      </c>
      <c r="G936" s="314"/>
      <c r="H936" s="315"/>
      <c r="I936" s="316"/>
      <c r="J936" s="316"/>
    </row>
    <row r="937" spans="1:10" s="97" customFormat="1" ht="18.75" customHeight="1" hidden="1">
      <c r="A937" s="317"/>
      <c r="B937" s="317"/>
      <c r="C937" s="318" t="s">
        <v>234</v>
      </c>
      <c r="D937" s="319">
        <v>265045705.78</v>
      </c>
      <c r="E937" s="319">
        <v>248113883.07</v>
      </c>
      <c r="F937" s="320"/>
      <c r="G937" s="321"/>
      <c r="H937" s="322"/>
      <c r="I937" s="322"/>
      <c r="J937" s="322"/>
    </row>
    <row r="938" spans="1:10" s="97" customFormat="1" ht="18.75" customHeight="1" hidden="1">
      <c r="A938" s="317"/>
      <c r="B938" s="317"/>
      <c r="C938" s="318" t="s">
        <v>1663</v>
      </c>
      <c r="D938" s="319">
        <f>D936-D937</f>
        <v>-22061275.22</v>
      </c>
      <c r="E938" s="319">
        <f>E936-E937</f>
        <v>-22137857.430000007</v>
      </c>
      <c r="F938" s="320"/>
      <c r="G938" s="321"/>
      <c r="H938" s="322"/>
      <c r="I938" s="322"/>
      <c r="J938" s="322"/>
    </row>
  </sheetData>
  <sheetProtection password="CF53" sheet="1" formatRows="0" insertColumns="0" insertRows="0" insertHyperlinks="0" deleteColumns="0" deleteRows="0" sort="0" autoFilter="0" pivotTables="0"/>
  <mergeCells count="9">
    <mergeCell ref="G887:G888"/>
    <mergeCell ref="A571:C571"/>
    <mergeCell ref="A3:E3"/>
    <mergeCell ref="G474:G477"/>
    <mergeCell ref="G801:G802"/>
    <mergeCell ref="E1:F1"/>
    <mergeCell ref="A7:C7"/>
    <mergeCell ref="G291:G292"/>
    <mergeCell ref="G363:G36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igorecka</dc:creator>
  <cp:keywords/>
  <dc:description/>
  <cp:lastModifiedBy>mkondratenko</cp:lastModifiedBy>
  <cp:lastPrinted>2014-05-05T10:15:43Z</cp:lastPrinted>
  <dcterms:created xsi:type="dcterms:W3CDTF">2002-07-29T09:23:44Z</dcterms:created>
  <dcterms:modified xsi:type="dcterms:W3CDTF">2014-05-15T07:51:29Z</dcterms:modified>
  <cp:category/>
  <cp:version/>
  <cp:contentType/>
  <cp:contentStatus/>
</cp:coreProperties>
</file>