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20" tabRatio="912" firstSheet="18" activeTab="24"/>
  </bookViews>
  <sheets>
    <sheet name="1Zmiany D i W" sheetId="1" r:id="rId1"/>
    <sheet name="2Zmiany P i R" sheetId="2" r:id="rId2"/>
    <sheet name="3Wysokość i przezn. nadwyżki" sheetId="3" r:id="rId3"/>
    <sheet name="4D i W wg działów" sheetId="4" r:id="rId4"/>
    <sheet name="5PiR" sheetId="5" r:id="rId5"/>
    <sheet name="6DOCHODY" sheetId="6" r:id="rId6"/>
    <sheet name="7Dmajatkowe" sheetId="7" r:id="rId7"/>
    <sheet name="8D wg źródeł" sheetId="8" r:id="rId8"/>
    <sheet name="9W" sheetId="9" r:id="rId9"/>
    <sheet name="10W dotacje z budżetu miasta" sheetId="10" r:id="rId10"/>
    <sheet name="11D i W dot. z budż. państwa" sheetId="11" r:id="rId11"/>
    <sheet name="12DiW zlecone" sheetId="12" r:id="rId12"/>
    <sheet name="13DiW porozumienia" sheetId="13" r:id="rId13"/>
    <sheet name="14DiW porozumienia z jst" sheetId="14" r:id="rId14"/>
    <sheet name=" 15ProgramyUE" sheetId="15" r:id="rId15"/>
    <sheet name="16Inwestycje" sheetId="16" r:id="rId16"/>
    <sheet name="17D i W własne jednostek" sheetId="17" r:id="rId17"/>
    <sheet name="18niewygasy2011" sheetId="18" r:id="rId18"/>
    <sheet name="19ZGM" sheetId="19" r:id="rId19"/>
    <sheet name="20 Wyspiarz" sheetId="20" r:id="rId20"/>
    <sheet name="21MDK" sheetId="21" r:id="rId21"/>
    <sheet name="22Bibiloteka" sheetId="22" r:id="rId22"/>
    <sheet name="23Muzeum" sheetId="23" r:id="rId23"/>
    <sheet name="24SP ZOZ SZPITAL" sheetId="24" r:id="rId24"/>
    <sheet name="25SP ZOZ ZP-O" sheetId="25" r:id="rId25"/>
    <sheet name="Arkusz1" sheetId="26" r:id="rId26"/>
  </sheets>
  <definedNames>
    <definedName name="_xlnm.Print_Area" localSheetId="14">' 15ProgramyUE'!$A$1:$H$70</definedName>
    <definedName name="_xlnm.Print_Area" localSheetId="9">'10W dotacje z budżetu miasta'!$A$1:$I$116</definedName>
    <definedName name="_xlnm.Print_Area" localSheetId="10">'11D i W dot. z budż. państwa'!$A$1:$N$63</definedName>
    <definedName name="_xlnm.Print_Area" localSheetId="11">'12DiW zlecone'!$A$1:$K$69</definedName>
    <definedName name="_xlnm.Print_Area" localSheetId="12">'13DiW porozumienia'!$A$1:$K$29</definedName>
    <definedName name="_xlnm.Print_Area" localSheetId="13">'14DiW porozumienia z jst'!$A$1:$K$14</definedName>
    <definedName name="_xlnm.Print_Area" localSheetId="15">'16Inwestycje'!$A$1:$F$59</definedName>
    <definedName name="_xlnm.Print_Area" localSheetId="16">'17D i W własne jednostek'!$A$1:$I$35</definedName>
    <definedName name="_xlnm.Print_Area" localSheetId="17">'18niewygasy2011'!$A$1:$H$24</definedName>
    <definedName name="_xlnm.Print_Area" localSheetId="18">'19ZGM'!$A$1:$F$59</definedName>
    <definedName name="_xlnm.Print_Area" localSheetId="0">'1Zmiany D i W'!$A$1:$F$32</definedName>
    <definedName name="_xlnm.Print_Area" localSheetId="19">'20 Wyspiarz'!$A$1:$F$59</definedName>
    <definedName name="_xlnm.Print_Area" localSheetId="20">'21MDK'!$A$1:$E$32</definedName>
    <definedName name="_xlnm.Print_Area" localSheetId="21">'22Bibiloteka'!$A$1:$E$34</definedName>
    <definedName name="_xlnm.Print_Area" localSheetId="22">'23Muzeum'!$A$1:$E$38</definedName>
    <definedName name="_xlnm.Print_Area" localSheetId="23">'24SP ZOZ SZPITAL'!$A$1:$E$98</definedName>
    <definedName name="_xlnm.Print_Area" localSheetId="24">'25SP ZOZ ZP-O'!$A$1:$E$57</definedName>
    <definedName name="_xlnm.Print_Area" localSheetId="1">'2Zmiany P i R'!$A$1:$F$13</definedName>
    <definedName name="_xlnm.Print_Area" localSheetId="2">'3Wysokość i przezn. nadwyżki'!$A$1:$F$49</definedName>
    <definedName name="_xlnm.Print_Area" localSheetId="3">'4D i W wg działów'!$A$1:$H$34</definedName>
    <definedName name="_xlnm.Print_Area" localSheetId="4">'5PiR'!$A$1:$F$20</definedName>
    <definedName name="_xlnm.Print_Area" localSheetId="5">'6DOCHODY'!$A$1:$G$592</definedName>
    <definedName name="_xlnm.Print_Area" localSheetId="6">'7Dmajatkowe'!$A$1:$G$136</definedName>
    <definedName name="_xlnm.Print_Area" localSheetId="7">'8D wg źródeł'!$A$1:$F$84</definedName>
    <definedName name="_xlnm.Print_Area" localSheetId="8">'9W'!$A$1:$F$915</definedName>
    <definedName name="_xlnm.Print_Titles" localSheetId="14">' 15ProgramyUE'!$4:$5</definedName>
    <definedName name="_xlnm.Print_Titles" localSheetId="9">'10W dotacje z budżetu miasta'!$6:$7</definedName>
    <definedName name="_xlnm.Print_Titles" localSheetId="10">'11D i W dot. z budż. państwa'!$4:$6</definedName>
    <definedName name="_xlnm.Print_Titles" localSheetId="11">'12DiW zlecone'!$5:$9</definedName>
    <definedName name="_xlnm.Print_Titles" localSheetId="12">'13DiW porozumienia'!$5:$9</definedName>
    <definedName name="_xlnm.Print_Titles" localSheetId="13">'14DiW porozumienia z jst'!$5:$9</definedName>
    <definedName name="_xlnm.Print_Titles" localSheetId="15">'16Inwestycje'!$5:$5</definedName>
    <definedName name="_xlnm.Print_Titles" localSheetId="16">'17D i W własne jednostek'!$5:$7</definedName>
    <definedName name="_xlnm.Print_Titles" localSheetId="18">'19ZGM'!$6:$7</definedName>
    <definedName name="_xlnm.Print_Titles" localSheetId="0">'1Zmiany D i W'!$5:$7</definedName>
    <definedName name="_xlnm.Print_Titles" localSheetId="19">'20 Wyspiarz'!$6:$7</definedName>
    <definedName name="_xlnm.Print_Titles" localSheetId="23">'24SP ZOZ SZPITAL'!$5:$6</definedName>
    <definedName name="_xlnm.Print_Titles" localSheetId="24">'25SP ZOZ ZP-O'!$6:$7</definedName>
    <definedName name="_xlnm.Print_Titles" localSheetId="2">'3Wysokość i przezn. nadwyżki'!$6:$8</definedName>
    <definedName name="_xlnm.Print_Titles" localSheetId="3">'4D i W wg działów'!$5:$7</definedName>
    <definedName name="_xlnm.Print_Titles" localSheetId="5">'6DOCHODY'!$5:$6</definedName>
    <definedName name="_xlnm.Print_Titles" localSheetId="6">'7Dmajatkowe'!$5:$6</definedName>
    <definedName name="_xlnm.Print_Titles" localSheetId="7">'8D wg źródeł'!$5:$6</definedName>
    <definedName name="_xlnm.Print_Titles" localSheetId="8">'9W'!$5:$6</definedName>
  </definedNames>
  <calcPr fullCalcOnLoad="1"/>
</workbook>
</file>

<file path=xl/sharedStrings.xml><?xml version="1.0" encoding="utf-8"?>
<sst xmlns="http://schemas.openxmlformats.org/spreadsheetml/2006/main" count="4859" uniqueCount="1492">
  <si>
    <t>Dotacje z budżetu Miasta na działalność bieżącą</t>
  </si>
  <si>
    <t>Dochody bieżące</t>
  </si>
  <si>
    <t>środki z innych źródeł</t>
  </si>
  <si>
    <t>pozostałe</t>
  </si>
  <si>
    <t>1.1</t>
  </si>
  <si>
    <t>1.2</t>
  </si>
  <si>
    <t>1.3</t>
  </si>
  <si>
    <t>2.1</t>
  </si>
  <si>
    <t>2.2</t>
  </si>
  <si>
    <t>- spłata kredytów i pożyczek</t>
  </si>
  <si>
    <t>2.3</t>
  </si>
  <si>
    <t>1.4</t>
  </si>
  <si>
    <t>dotacje</t>
  </si>
  <si>
    <t>obsługa długu publicznego</t>
  </si>
  <si>
    <t>wg Rb28S</t>
  </si>
  <si>
    <t>Wg rb27S</t>
  </si>
  <si>
    <t>tabela</t>
  </si>
  <si>
    <t>2.4</t>
  </si>
  <si>
    <t>Tabela nr 3</t>
  </si>
  <si>
    <t>OGÓŁEM INWESTYCJE KOMUNALNE (WIM)</t>
  </si>
  <si>
    <t>Punkt Przedszkolny "Tygrysek"</t>
  </si>
  <si>
    <t>Amortyzacja</t>
  </si>
  <si>
    <t>Wynagrodzenia</t>
  </si>
  <si>
    <t>Podróże służbowe i koszty zakwaterowania</t>
  </si>
  <si>
    <t xml:space="preserve">wynagrodzenia i pochodne </t>
  </si>
  <si>
    <t>OGÓŁEM:</t>
  </si>
  <si>
    <t>związane z realizacją zadań statutowych</t>
  </si>
  <si>
    <t>świadczenia na rzecz osób fizycznych</t>
  </si>
  <si>
    <t>1.5</t>
  </si>
  <si>
    <t>Wydatki związane z realizacją zadań statutowych</t>
  </si>
  <si>
    <t>Dotacje na zadania bieżące</t>
  </si>
  <si>
    <t>Świadczenia na rzecz osób fizycznych</t>
  </si>
  <si>
    <t>Wydatki na programy z udziałem środków unijnych</t>
  </si>
  <si>
    <t>Wydatki jednostek budżetowych</t>
  </si>
  <si>
    <t>Wydatki
ogółem
(5+11)</t>
  </si>
  <si>
    <t>MIEJSKI DOM KULTURY</t>
  </si>
  <si>
    <t>RÓŻNICA</t>
  </si>
  <si>
    <t>2.5</t>
  </si>
  <si>
    <t xml:space="preserve">    - pozostałe opłaty wraz z rekompensatą utraconych dochodów</t>
  </si>
  <si>
    <t xml:space="preserve">OTRZYMANE DOTACJE Z BUDŻETU PAŃSTWA ORAZ ICH WYDATKOWANIE </t>
  </si>
  <si>
    <t>Pożyczki</t>
  </si>
  <si>
    <t>Sprawdzenie Rb 27S i Rb28S</t>
  </si>
  <si>
    <t>Przebudowa centralnego układu komunikacyjnego śródmieścia w Świnoujściu</t>
  </si>
  <si>
    <t>usługi pielęgniarskie</t>
  </si>
  <si>
    <t>Sprawdzenie Rb 27S</t>
  </si>
  <si>
    <t>Społeczna Szkoła Podstawowa Społecznego Towarzystwa Szkoły Gimnazjalnej</t>
  </si>
  <si>
    <t>Technikum Elektryczne w Świnoujściu Wojewódzkiego Zakładu Doskonalenia Zawodowego w Szczecinie</t>
  </si>
  <si>
    <t>85407</t>
  </si>
  <si>
    <t>BEZPIECZEŃSTWO PUBLICZNE I OCHRONA PRZECIWPOŻAROWA</t>
  </si>
  <si>
    <t>85410</t>
  </si>
  <si>
    <t>85415</t>
  </si>
  <si>
    <t>Pomoc materialna dla uczniów</t>
  </si>
  <si>
    <t>85417</t>
  </si>
  <si>
    <t>900</t>
  </si>
  <si>
    <t>90003</t>
  </si>
  <si>
    <t>90015</t>
  </si>
  <si>
    <t>Oświetlenie ulic, placów i dróg</t>
  </si>
  <si>
    <t>90095</t>
  </si>
  <si>
    <t>Specjalne ośrodki szkolno-wychowawcze</t>
  </si>
  <si>
    <t>ŁĄCZNIE GMINA I POWIAT</t>
  </si>
  <si>
    <t>Zaległości z tytułu podatków i opłat zniesionych</t>
  </si>
  <si>
    <t>Wpływy z opłat za zezwolenia na sprzedaż napojów alkoholowych</t>
  </si>
  <si>
    <t xml:space="preserve">   - pozostałe wydatki</t>
  </si>
  <si>
    <t>Nadwyżka/ Deficyt (I -II)</t>
  </si>
  <si>
    <t>- wykup obligacji komunalnych</t>
  </si>
  <si>
    <t>Dotacje celowe otrzymane z gminy na zadania bieżące realizowane na podstawie porozumień (umów) między jednostkami samorządu terytorialnego</t>
  </si>
  <si>
    <t>Aktywne Przedszkole "Kogut"</t>
  </si>
  <si>
    <t>Policealna Szkoła Centrum Nauki i Biznesu "Żak" w Świnoujściu - kursy</t>
  </si>
  <si>
    <t>3. Dotacje celowe na zadania własne i zlecone miasta realizowane przez podmioty należące i nienależące do sektora finansów publicznych (§2320 - inne jst,  §2360 - organizacje prowadzące działalność pożytku publicznego, §2800 - dla pozostałych jednostek zaliczanych do sektora finansów publicznych),  §2830 - na fiansowanie lub dofinansowanie zadań zleconych do realizacji pozostałym jednostkiom niezaliczanym do sektora finansów publicznych)</t>
  </si>
  <si>
    <t xml:space="preserve">5. Dotacje inwestycyjne (§6210, §6218 - zakłady budżetowe, §6220,  §6229 - inne jednostki sektora fp, §6230 - inne jednostki nie zaliczane do sektora fp , §6170 - wpłaty na fundusz celowy, §6570 - dofinansowanie zadań inwestycyjnych obiektów zabytkowych jednostkom niezaliczanym do sektora fp </t>
  </si>
  <si>
    <t>Zakupy inwestycyjne dla Państwowej Straży Pożarnej</t>
  </si>
  <si>
    <t>Społeczne Gimnazjum Społecznego Towarzystwa Szkoły Gimnazjalnej</t>
  </si>
  <si>
    <r>
      <t>Ośrodek Sportu i Rekreacji "Wyspiarz"</t>
    </r>
    <r>
      <rPr>
        <sz val="10"/>
        <rFont val="Times New Roman"/>
        <family val="1"/>
      </rPr>
      <t xml:space="preserve">
Dopłaty do 1 godziny funkcjonowania:
- hali sportowej,
- pływalni,
- boiska ze sztuczną nawierzchnią,
- boiska trawiastego,
- kortów ziemnych,
- hali tenisowej,                                                                                                                                                           - terenów rekreacyjnych.</t>
    </r>
  </si>
  <si>
    <t>konserwacja, przeglądy i naprawy sprzętu</t>
  </si>
  <si>
    <t>POZOSTAŁE KOSZTY  RODZAJOWE - w tym UBEZPIECZENIA</t>
  </si>
  <si>
    <t>materiały medyczne + pieluchomajtki</t>
  </si>
  <si>
    <t xml:space="preserve">Środki na dofinansowanie własnych zadań 
bieżących gmin (związków gmin), powiatów (związków powiatów), samorządów województw, pozyskane z innych źródeł
</t>
  </si>
  <si>
    <t>6430</t>
  </si>
  <si>
    <t xml:space="preserve">KULTURA FIZYCZNA </t>
  </si>
  <si>
    <t>Kultura fizyczna</t>
  </si>
  <si>
    <t>Dotacja celowa otrzymana z tytułu pomocy finansowej udzielanej między jednostkami samorządu terytorialnego na dofinansowanie własnych zadań bieżących</t>
  </si>
  <si>
    <t>KULTURA FIZYCZNA</t>
  </si>
  <si>
    <t>Zadania w zakresie kultury fizycznej</t>
  </si>
  <si>
    <t>Płatności w zakresie budżetu środków europejskich</t>
  </si>
  <si>
    <t>Straż gminna (miejska)</t>
  </si>
  <si>
    <t>Dotacje celowe otrzymane z budżetu państwa na realizację inwestycji i zakupów inwestycyjnych własnych powiatu</t>
  </si>
  <si>
    <t>Klasyfikacja
§</t>
  </si>
  <si>
    <t>§ 992</t>
  </si>
  <si>
    <t>§ 982</t>
  </si>
  <si>
    <t xml:space="preserve">    - wpływy za realizację dochodów skarbu państwa</t>
  </si>
  <si>
    <t>921</t>
  </si>
  <si>
    <t>926</t>
  </si>
  <si>
    <t>udział</t>
  </si>
  <si>
    <t xml:space="preserve">Udział </t>
  </si>
  <si>
    <t>92601</t>
  </si>
  <si>
    <t>Obiekty sportowe</t>
  </si>
  <si>
    <t>92605</t>
  </si>
  <si>
    <t>Dział</t>
  </si>
  <si>
    <t>Wyszczególnienie</t>
  </si>
  <si>
    <t>Miejski Dom Kultury</t>
  </si>
  <si>
    <t>zad własne</t>
  </si>
  <si>
    <t>Zadania w zakresie oświaty i wychowania</t>
  </si>
  <si>
    <t>§</t>
  </si>
  <si>
    <t>LEŚNICTWO</t>
  </si>
  <si>
    <t>0890</t>
  </si>
  <si>
    <t>Dotacje celowe otrzymane z budżetu państwa na 
realizację bieżących zadań własnych powiatu</t>
  </si>
  <si>
    <t>Wpływy z różnych opłat</t>
  </si>
  <si>
    <t>DOCHODY GMINY</t>
  </si>
  <si>
    <t>DOCHODY POWIATU</t>
  </si>
  <si>
    <t>Wpływy z różnych dochodów</t>
  </si>
  <si>
    <t>Pozostałe odsetki</t>
  </si>
  <si>
    <t>80103</t>
  </si>
  <si>
    <t>Oddziały przedszkolne w szkołach podstawowych</t>
  </si>
  <si>
    <t>Wpływy z tytułu przekształcenia prawa użytkowania wieczystego przysługującego osobom fizycznym w prawo własności</t>
  </si>
  <si>
    <t>Wpływy z opłaty komunikacyjnej</t>
  </si>
  <si>
    <t>Dotacje celowe otrzymane z budżetu państwa na zadania bieżące realizowane przez powiat na podstawie porozumień z organami administracji rządowej</t>
  </si>
  <si>
    <t>75101</t>
  </si>
  <si>
    <t xml:space="preserve">Urzędy naczelnych organów władzy państwowej, kontroli i ochrony prawa 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</si>
  <si>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</si>
  <si>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</si>
  <si>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</si>
  <si>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</si>
  <si>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</si>
  <si>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</si>
  <si>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</si>
  <si>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</si>
  <si>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</si>
  <si>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75618</t>
  </si>
  <si>
    <t>DOCHODY I WYDATKI  WEDŁUG DZIAŁÓW KLASYFIKACJI BUDŻETOWEJ</t>
  </si>
  <si>
    <t xml:space="preserve"> DOCHODY  WEDŁUG DZIAŁÓW, ROZDZIAŁÓW I PARAGRAFÓW KLASYFIKACJI BUDŻETOWEJ</t>
  </si>
  <si>
    <t>DOCHODY WEDŁUG WAŻNIEJSZYCH ŹRÓDEŁ</t>
  </si>
  <si>
    <t>WYDATKI WEDŁUG DZIAŁÓW I ROZDZIAŁÓW KLASYFIKACJI  BUDŻETOWEJ</t>
  </si>
  <si>
    <t>23.</t>
  </si>
  <si>
    <t>24.</t>
  </si>
  <si>
    <t>25.</t>
  </si>
  <si>
    <t>26.</t>
  </si>
  <si>
    <t>Wpływy z opłaty skarbowej</t>
  </si>
  <si>
    <t>75621</t>
  </si>
  <si>
    <t>Udziały gmin w podatkach stanowiących dochód 
budżetu państwa</t>
  </si>
  <si>
    <t>2. Dotacje podmiotowe (§2480 - instytucje kultury, §2510 - zakłady budżetowe, § 2540 - niepubliczne jednostki oświatowe, §2560 - publiczne ZOZ, §2580 - jednostki nie zaliczane do fp, §2590 - publiczne jednostki oświatowe)</t>
  </si>
  <si>
    <t>Samodzielny Publiczny Zakład Opieki Zdrowotnej Szpital Miejski im. Jana Garduły</t>
  </si>
  <si>
    <t>Podatek dochodowy od osób fizycznych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</si>
  <si>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</si>
  <si>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</si>
  <si>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-</t>
  </si>
  <si>
    <t>Podatek dochodowy od osób prawnych</t>
  </si>
  <si>
    <t>75622</t>
  </si>
  <si>
    <t>75801</t>
  </si>
  <si>
    <t xml:space="preserve">    - inne lokalne opłaty</t>
  </si>
  <si>
    <t>Część oświatowa subwencji ogólnej dla jednostek 
samorządu terytorialnego</t>
  </si>
  <si>
    <t>Subwencje ogólne z budżetu państwa</t>
  </si>
  <si>
    <t>75802</t>
  </si>
  <si>
    <t>75814</t>
  </si>
  <si>
    <t>Różne rozliczenia finansowe</t>
  </si>
  <si>
    <t xml:space="preserve">Pozostałe odsetki </t>
  </si>
  <si>
    <t>85156</t>
  </si>
  <si>
    <t xml:space="preserve">Wpływy z usług </t>
  </si>
  <si>
    <t>GOSPODARKA KOMUNALNA I OCHRONA 
ŚRODOWISKA</t>
  </si>
  <si>
    <t>80113</t>
  </si>
  <si>
    <t>Dowożenie uczniów do szkół</t>
  </si>
  <si>
    <t>Przychody</t>
  </si>
  <si>
    <t>Wydatki</t>
  </si>
  <si>
    <t xml:space="preserve">Plan </t>
  </si>
  <si>
    <t xml:space="preserve">Wykonanie </t>
  </si>
  <si>
    <t>751</t>
  </si>
  <si>
    <t>Razem</t>
  </si>
  <si>
    <t>DOCHODY I WYDATKI ZWIĄZANE Z REALIZACJĄ ZADAŃ Z ZAKRESU ADMINISTRACJI RZĄDOWEJ 
I INNYCH ZADAŃ ZLECONYCH ODRĘBNYMI USTAWAMI</t>
  </si>
  <si>
    <t>DOCHODY I WYDATKI ZWIĄZANE Z REALIZACJĄ ZADAŃ Z ZAKRESU ADMINISTRACJI RZĄDOWEJ 
WYKONYWANYCH NA PODSTAWIE POROZUMIEŃ Z ORGANAMI ADMINISTRACJI RZĄDOWEJ</t>
  </si>
  <si>
    <t>Lp.</t>
  </si>
  <si>
    <t>I</t>
  </si>
  <si>
    <t>Dochody ogółem</t>
  </si>
  <si>
    <t>1.</t>
  </si>
  <si>
    <t>2.</t>
  </si>
  <si>
    <t>II</t>
  </si>
  <si>
    <t>Wydatki ogółem</t>
  </si>
  <si>
    <t>III</t>
  </si>
  <si>
    <t>X</t>
  </si>
  <si>
    <t>Usługi remontowe</t>
  </si>
  <si>
    <t>Inwestycje</t>
  </si>
  <si>
    <t>Stan środków obrotowych na koniec okresu sprawozdawczego</t>
  </si>
  <si>
    <t>Stan środków obrotowych na początek okresu sprawozdawczego</t>
  </si>
  <si>
    <t>Składki  na ubezpieczenie zdrowotne opłacane za osoby pobierające niektóre świadczenia z pomocy społecznej, niektóre świadczenia rodzinne oraz za osoby uczestniczące w zajęciach w centrum integracji społecznej</t>
  </si>
  <si>
    <t xml:space="preserve"> SAMODZIELNY PUBLICZNY ZAKŁAD OPIEKI ZDROWOTNEJ SZPITAL MIEJSKI
 IM. JANA GARDUŁY</t>
  </si>
  <si>
    <t>IV</t>
  </si>
  <si>
    <t>z tego:</t>
  </si>
  <si>
    <t>Wydatki bieżące</t>
  </si>
  <si>
    <t>Transport i łączność</t>
  </si>
  <si>
    <t>Oświata i wychowanie</t>
  </si>
  <si>
    <t>Ochrona zdrowia</t>
  </si>
  <si>
    <t>Gospodarka komunalna i ochrona środowiska</t>
  </si>
  <si>
    <t>Kultura i ochrona dziedzictwa narodowego</t>
  </si>
  <si>
    <t>Nazwa działu</t>
  </si>
  <si>
    <t>Dochody</t>
  </si>
  <si>
    <t>Rolnictwo i łowiectwo</t>
  </si>
  <si>
    <t>Leśnictwo</t>
  </si>
  <si>
    <t>Handel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</si>
  <si>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</si>
  <si>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</si>
  <si>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</si>
  <si>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</si>
  <si>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</si>
  <si>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756</t>
  </si>
  <si>
    <t>Obsługa długu publicznego</t>
  </si>
  <si>
    <t>Różne rozliczenia</t>
  </si>
  <si>
    <t>Edukacyjna opieka wychowawcza</t>
  </si>
  <si>
    <t>Ogółem dochody i wydatki</t>
  </si>
  <si>
    <t>Ośrodki wparcia</t>
  </si>
  <si>
    <t>550</t>
  </si>
  <si>
    <t>Hotele i restauracje</t>
  </si>
  <si>
    <t>Dotacje celowe otrzymane z budżetu państwa na zadania bieżące z zakresu administracji rządowej oraz inne zadania zlecone ustawami realizowane przez powiat</t>
  </si>
  <si>
    <t>HOTELE I RESTAURACJE</t>
  </si>
  <si>
    <t>Prace geodezyjne i kartograficzne (nieinwestycyjne)</t>
  </si>
  <si>
    <t>dotacje z funduszy celowych</t>
  </si>
  <si>
    <t>- najem i dzierżawa składników majątkowych</t>
  </si>
  <si>
    <t>- osobowe pracowników</t>
  </si>
  <si>
    <t>- bezosobowe i agencyjno-prowizyjne</t>
  </si>
  <si>
    <t>- na działalność bieżącą</t>
  </si>
  <si>
    <t>- na inwestycje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</si>
  <si>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</si>
  <si>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</si>
  <si>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Wpływy z opłat za koncesje i licencje</t>
  </si>
  <si>
    <t>Komendy powiatowe Państwowej Straży Pożarnej</t>
  </si>
  <si>
    <t xml:space="preserve">Subwencje ogólne z budżetu państwa </t>
  </si>
  <si>
    <t>Ośrodki wsparcia</t>
  </si>
  <si>
    <t>Dotacje celowe otrzymane z budżetu państwa na realizację własnych zadań bieżących gmin (związków gmin)</t>
  </si>
  <si>
    <t>Wpływy z opłaty eksploatacyjnej</t>
  </si>
  <si>
    <t>Wpływy z innych opłat stanowiących dochody jednostek samorządu terytorialnego na podstawie ustaw</t>
  </si>
  <si>
    <t xml:space="preserve">                        Budżet  (zł)</t>
  </si>
  <si>
    <t>Zespoły do spraw orzekania o niepełnosprawności</t>
  </si>
  <si>
    <t>Oczyszczanie miast i wsi</t>
  </si>
  <si>
    <t>Wpływy do budżetu części zysku gospodarstwa pomocniczego</t>
  </si>
  <si>
    <t>Dotacje celowe otrzymane z budżetu państwa na zadania bieżące realizowane przez gminę na podstawie porozumień z organami administracji rządowej</t>
  </si>
  <si>
    <t>63003</t>
  </si>
  <si>
    <t>Zadania w zakresie upowszechniania turystyki</t>
  </si>
  <si>
    <t>75416</t>
  </si>
  <si>
    <t>400</t>
  </si>
  <si>
    <t>13.1</t>
  </si>
  <si>
    <t>13.2</t>
  </si>
  <si>
    <t>13.3</t>
  </si>
  <si>
    <t>15.1</t>
  </si>
  <si>
    <t>15.2</t>
  </si>
  <si>
    <t>usługi dezynfekcyjne</t>
  </si>
  <si>
    <t>MIEJSKA BIBLIOTEKA PUBLICZNA</t>
  </si>
  <si>
    <t>Dotacje celowe otrzymane z budżetu państwa na realizację inwestycji i zakupów inwestycyjnych własnych gmin (związków gmin)</t>
  </si>
  <si>
    <t>Tabela nr 5</t>
  </si>
  <si>
    <t>75615</t>
  </si>
  <si>
    <t>Zakład Gospodarki Mieszkaniowej</t>
  </si>
  <si>
    <t xml:space="preserve">Zespoły do spraw orzekania
o niepełnosprawności </t>
  </si>
  <si>
    <t>BEZPIECZEŃSTWO PUBLICZNE 
I OCHRONA PRZECIWPOŻAROWA</t>
  </si>
  <si>
    <t>3.</t>
  </si>
  <si>
    <t>60041</t>
  </si>
  <si>
    <t>Infrastruktura portowa</t>
  </si>
  <si>
    <t>Wpływy z innych lokalnych opłat pobieranych przez jednostki samorządu terytorialnego na podstawie odrębnych ustaw</t>
  </si>
  <si>
    <t>90020</t>
  </si>
  <si>
    <t>Wpływy i wydatki związane z gromadzeniem środków z opłat produktowych</t>
  </si>
  <si>
    <t>Wpływy z opłaty produktowej</t>
  </si>
  <si>
    <t>4.</t>
  </si>
  <si>
    <t>5.</t>
  </si>
  <si>
    <t>6.</t>
  </si>
  <si>
    <t>9.</t>
  </si>
  <si>
    <t>- inne źródła</t>
  </si>
  <si>
    <t>10.</t>
  </si>
  <si>
    <t>12.</t>
  </si>
  <si>
    <t>13.</t>
  </si>
  <si>
    <t>15.</t>
  </si>
  <si>
    <t>16.</t>
  </si>
  <si>
    <t>17.</t>
  </si>
  <si>
    <t>18.</t>
  </si>
  <si>
    <t>2910</t>
  </si>
  <si>
    <t xml:space="preserve">Koszty zakupu sprzedanych towarów </t>
  </si>
  <si>
    <t xml:space="preserve">    - od działalności gospodarczej osób fizycznych,      opłacany w formie karty podatkowej</t>
  </si>
  <si>
    <t>sprzęt, materiały medyczne jednorazowego użytku, opatrunki, pieluchy, materiały szewne</t>
  </si>
  <si>
    <t>ma być</t>
  </si>
  <si>
    <t>Wpływy ze zwrotów dotacji wykorzystanych niezgodnie z przeznaczeniem lub pobranych w nadmiernej wysokości</t>
  </si>
  <si>
    <t>19.</t>
  </si>
  <si>
    <t>20.</t>
  </si>
  <si>
    <t>21.</t>
  </si>
  <si>
    <t>22.</t>
  </si>
  <si>
    <t>§282</t>
  </si>
  <si>
    <t>1. Dotacje przedmiotowe (§ 2650 - zakłady budżetowe)</t>
  </si>
  <si>
    <t>§232</t>
  </si>
  <si>
    <t>§258</t>
  </si>
  <si>
    <t>§259</t>
  </si>
  <si>
    <t>Różnica bieżące</t>
  </si>
  <si>
    <t>- wydatki jednostek budżetowych</t>
  </si>
  <si>
    <t xml:space="preserve">   - wydatki związane z realizacją zadań statutowych</t>
  </si>
  <si>
    <t>- dotacje i subwencje</t>
  </si>
  <si>
    <t>Wydatki majątkowe</t>
  </si>
  <si>
    <t>- inwestycje</t>
  </si>
  <si>
    <t>Działania merytoryczne</t>
  </si>
  <si>
    <t>dzierżawa pościeli</t>
  </si>
  <si>
    <t>4.22</t>
  </si>
  <si>
    <t>4.23</t>
  </si>
  <si>
    <t>4.24</t>
  </si>
  <si>
    <t>4.25</t>
  </si>
  <si>
    <t>4.26</t>
  </si>
  <si>
    <t>- świadczenia na rzecz osób fizycznych</t>
  </si>
  <si>
    <t>Wybory Prezydenta Rzeczypospolitej Polskiej</t>
  </si>
  <si>
    <t>- obsługa długu publicznego</t>
  </si>
  <si>
    <t>80105</t>
  </si>
  <si>
    <t>Przedszkola specjalne</t>
  </si>
  <si>
    <t>- dotacje</t>
  </si>
  <si>
    <t>Zadania w zakresie przeciwdziałania przemocy w rodzinie</t>
  </si>
  <si>
    <t>- wydatki jednostek pomocniczych</t>
  </si>
  <si>
    <t>- programy unijne</t>
  </si>
  <si>
    <t>Różnica majątkowe</t>
  </si>
  <si>
    <t>Warsztaty Terapii Zajęciowej</t>
  </si>
  <si>
    <t>§265</t>
  </si>
  <si>
    <t>§254</t>
  </si>
  <si>
    <t>§248</t>
  </si>
  <si>
    <t>§256</t>
  </si>
  <si>
    <t>§621</t>
  </si>
  <si>
    <t>§622</t>
  </si>
  <si>
    <t>wpływy z przekształcenia i sprzedaży nieruchomości i składników majątkowych</t>
  </si>
  <si>
    <t>DOTACJE INWESTYCYJNE</t>
  </si>
  <si>
    <t>§617</t>
  </si>
  <si>
    <t>Zakupy inwestycyjne dla Policji</t>
  </si>
  <si>
    <t>dotacje i subwencje</t>
  </si>
  <si>
    <t>Wpływy i wydatki związane z gromadzeniem środków z opłat i kar za korzystanie ze środowiska</t>
  </si>
  <si>
    <t>Bez dotacji z § 2870 dla gmin uzdrowiskowych</t>
  </si>
  <si>
    <t>Współfinansowanie programów i projektów realizowanych ze środków z funduszy strukturalnych, Funduszu Spójności, Europejskiego Funduszu Rybackiego oraz z funduszy unijnych finansujących Wspólną Politykę Rolną</t>
  </si>
  <si>
    <t>Środki na utrzymanie rzecznych przepraw promowych oraz na remonty, utrzymanie, ochronę i zarządzanie drogami krajowymi i wojewódzkimi w granicach miast na prawach powiatu</t>
  </si>
  <si>
    <t>85404</t>
  </si>
  <si>
    <t>Wczesne wspomaganie rozwoju dziecka</t>
  </si>
  <si>
    <t>ZMIANY DOKONANE W DOCHODACH I WYDATKACH</t>
  </si>
  <si>
    <t>WYTWARZANIE I ZAOPATRYWANIE W ENERGIĘ ELEKTRYCZNĄ, GAZ I WODĘ</t>
  </si>
  <si>
    <t>Licea ogólnokształcące</t>
  </si>
  <si>
    <t>§ 963</t>
  </si>
  <si>
    <t>Spłaty pożyczek otrzymanych na finansowanie zadań realizowanych z udziałem środków pochodzących z budżetu Unii Europejskiej</t>
  </si>
  <si>
    <t>3. Udziały w podatkach stanowiących dochód budżetu 
    państwa</t>
  </si>
  <si>
    <t>7.</t>
  </si>
  <si>
    <t>8.</t>
  </si>
  <si>
    <t>11.</t>
  </si>
  <si>
    <t>14.</t>
  </si>
  <si>
    <t>Źródła pokrycia (1-2)</t>
  </si>
  <si>
    <t>Odsetki od nieterminowych wpłat z tytułu podatków i opłat</t>
  </si>
  <si>
    <t>DOCHODY</t>
  </si>
  <si>
    <t>WYDATKI</t>
  </si>
  <si>
    <t>PRZYCHODY</t>
  </si>
  <si>
    <t>ROZCHODY</t>
  </si>
  <si>
    <t>Wpływy z opłaty uzdrowiskowej, pobieranej w gminach posiadających status gminy uzdrowiskowej</t>
  </si>
  <si>
    <t>Podatek od działalności gospodarczej osób fizycznych, opłacany w formie karty podatkowej</t>
  </si>
  <si>
    <t>Udziały powiatów w podatkach stanowiących dochód budżetu państwa</t>
  </si>
  <si>
    <t>01005</t>
  </si>
  <si>
    <t>2110</t>
  </si>
  <si>
    <t>Prace geodezyjno-urządzeniowe na potrzeby rolnictwa</t>
  </si>
  <si>
    <t>6207</t>
  </si>
  <si>
    <t>6209</t>
  </si>
  <si>
    <t>Dotacje celowe w ramach programów finansowanych z udziałem środków europejskich oraz środków, o których mowa w art. 5 ust. 1 pkt 3 oraz ust.3 pkt 5 i 6 ustawy, lub płatności w ramach budżetu środków europejskich</t>
  </si>
  <si>
    <t>6297</t>
  </si>
  <si>
    <t>0960</t>
  </si>
  <si>
    <t>Otrzymane spadki, zapisy i darowizny w postaci pieniężnej</t>
  </si>
  <si>
    <t>Wpływ do budżetu pozostałości środków finansowych gromadzonych na wydzielonym rachunku jednostki budżetowej</t>
  </si>
  <si>
    <t xml:space="preserve">    - wpływy z innych dochodów</t>
  </si>
  <si>
    <t>0840</t>
  </si>
  <si>
    <t>Wpływy ze sprzedaży wyrobów</t>
  </si>
  <si>
    <t>Dotacje otrzymane z państwowych funduszy celowych na finansowanie lub dofinansowanie kosztów realizacji inwestycji i zakupów inwestycyjnych jednostek sektora finansów publicznych</t>
  </si>
  <si>
    <t>71095</t>
  </si>
  <si>
    <t>6410</t>
  </si>
  <si>
    <t>plan wg Rb</t>
  </si>
  <si>
    <t xml:space="preserve"> przychody wg sprawozdania Rb</t>
  </si>
  <si>
    <t>wg wydruku</t>
  </si>
  <si>
    <t>wg wydruku plan</t>
  </si>
  <si>
    <t>wg wydruku wykonanie</t>
  </si>
  <si>
    <t>tyle wydaliśmy</t>
  </si>
  <si>
    <t>bo oznaczałoby to, że dotacja wpłynęła w niższej kwocie</t>
  </si>
  <si>
    <t>NIE MOŻE BYĆ MINUS</t>
  </si>
  <si>
    <t>MAJĄTKOWE TEŻ DZIELIMY</t>
  </si>
  <si>
    <t>Wpływy ze sprzedaży składników majątkowych</t>
  </si>
  <si>
    <t>0870</t>
  </si>
  <si>
    <t xml:space="preserve">    - grzywny, mandaty i inne kary pieniężne</t>
  </si>
  <si>
    <t>75616</t>
  </si>
  <si>
    <t>Wpływy z podatku rolnego, podatku leśnego, podatku od spadków i darowizn, podatku od czynności cywilnoprawnych oraz podatków i opłat lokalnych od osób fizycznych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</si>
  <si>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</si>
  <si>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</si>
  <si>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</si>
  <si>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</si>
  <si>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 (umów)</t>
  </si>
  <si>
    <t>w tym:</t>
  </si>
  <si>
    <t>Budowa Zespołu Opieki Długoterminowej</t>
  </si>
  <si>
    <t>Oświetlenie ulic (wg uzgodnień)</t>
  </si>
  <si>
    <t>Rozbudowa i modernizacja sieci deszczowych</t>
  </si>
  <si>
    <t>Zadania w zakresie administracji publicznej</t>
  </si>
  <si>
    <t>0830</t>
  </si>
  <si>
    <t>0920</t>
  </si>
  <si>
    <t>0970</t>
  </si>
  <si>
    <t>0570</t>
  </si>
  <si>
    <t>0690</t>
  </si>
  <si>
    <t>0750</t>
  </si>
  <si>
    <t>55097</t>
  </si>
  <si>
    <t>Gospodarstwa pomocnicze</t>
  </si>
  <si>
    <t>2380</t>
  </si>
  <si>
    <t>0470</t>
  </si>
  <si>
    <t>0490</t>
  </si>
  <si>
    <t>0760</t>
  </si>
  <si>
    <t>0770</t>
  </si>
  <si>
    <t>0350</t>
  </si>
  <si>
    <t>0910</t>
  </si>
  <si>
    <t>0310</t>
  </si>
  <si>
    <t>0320</t>
  </si>
  <si>
    <t>0330</t>
  </si>
  <si>
    <t>razem w rozdziale</t>
  </si>
  <si>
    <t>gmina bieżące i majątkowe z wydruku Rekord</t>
  </si>
  <si>
    <t>powiat bieżące i majątkowe z wydruku Rekord</t>
  </si>
  <si>
    <t>różnica gmina</t>
  </si>
  <si>
    <t>różnica powiat</t>
  </si>
  <si>
    <t>0340</t>
  </si>
  <si>
    <t>0500</t>
  </si>
  <si>
    <t>0360</t>
  </si>
  <si>
    <t>2007</t>
  </si>
  <si>
    <t>Finansowanie programów i projektów ze środków funduszy strukturalnych, Funduszu Spójności, Europejskiego Funduszu Rybackiego oraz z funduszy unijnych finansujących Wspólną Politykę Rolną z wyłączeniem budżetu środków europejskich</t>
  </si>
  <si>
    <t>75107</t>
  </si>
  <si>
    <t>0370</t>
  </si>
  <si>
    <t>Opłata od posiadania psów</t>
  </si>
  <si>
    <t>2870</t>
  </si>
  <si>
    <t>Dotacja z budżetu państwa dla gmin uzdrowiskowych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</si>
  <si>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</si>
  <si>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</si>
  <si>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0980</t>
  </si>
  <si>
    <t>Wpływy z tytułu zwrotów wypłaconych świadczeń z funduszu alimentacyjnego</t>
  </si>
  <si>
    <t>85216</t>
  </si>
  <si>
    <t>90011</t>
  </si>
  <si>
    <t>Fundusz Ochrony Środowiska i Gospodarki Wodnej</t>
  </si>
  <si>
    <t>85205</t>
  </si>
  <si>
    <t>2120</t>
  </si>
  <si>
    <t>2370</t>
  </si>
  <si>
    <t>Drogi publiczne w miastach na prawach powiatu 
(w rozdziale nie ujmuje się wydatków na drogi gminne)</t>
  </si>
  <si>
    <t>0430</t>
  </si>
  <si>
    <t>0410</t>
  </si>
  <si>
    <t>0420</t>
  </si>
  <si>
    <t>0460</t>
  </si>
  <si>
    <t>0480</t>
  </si>
  <si>
    <t>0590</t>
  </si>
  <si>
    <t>0010</t>
  </si>
  <si>
    <t>0020</t>
  </si>
  <si>
    <t>2920</t>
  </si>
  <si>
    <t>6330</t>
  </si>
  <si>
    <t>2130</t>
  </si>
  <si>
    <t>2020</t>
  </si>
  <si>
    <t>2030</t>
  </si>
  <si>
    <t>0400</t>
  </si>
  <si>
    <t>6290</t>
  </si>
  <si>
    <t>2360</t>
  </si>
  <si>
    <t>2790</t>
  </si>
  <si>
    <t>75832</t>
  </si>
  <si>
    <t>852</t>
  </si>
  <si>
    <t>85201</t>
  </si>
  <si>
    <t>85212</t>
  </si>
  <si>
    <t>85213</t>
  </si>
  <si>
    <t>85214</t>
  </si>
  <si>
    <t>85215</t>
  </si>
  <si>
    <t>85219</t>
  </si>
  <si>
    <t>Rozdział 92116</t>
  </si>
  <si>
    <t>85228</t>
  </si>
  <si>
    <t>2010</t>
  </si>
  <si>
    <t>85295</t>
  </si>
  <si>
    <t>POMOC SPOŁECZNA</t>
  </si>
  <si>
    <t>85203</t>
  </si>
  <si>
    <t>90002</t>
  </si>
  <si>
    <t>Gospodarka odpadami</t>
  </si>
  <si>
    <t>Część równoważąca subwencji ogólnej dla powiatów</t>
  </si>
  <si>
    <t>Pomoc społeczna</t>
  </si>
  <si>
    <t>Dochody jednostek samorządu terytorialnego związane z realizacją zadań  z zakresu administracji rządowej oraz innych zadań zleconych ustawami</t>
  </si>
  <si>
    <t>2</t>
  </si>
  <si>
    <t>Dochody z najmu i dzierżawy składników majątkowych Skarbu Państwa, jednostek samorządu terytorialnego lub innych jednostek zaliczanych do sektora finansów publicznych oraz innych umów o podobnym charakterze</t>
  </si>
  <si>
    <t>Data wprowadzenia</t>
  </si>
  <si>
    <t>zmniejszenia</t>
  </si>
  <si>
    <t>zwiększenia</t>
  </si>
  <si>
    <t>PLAN POCZĄTKOWY</t>
  </si>
  <si>
    <t>Ogółem zmiany</t>
  </si>
  <si>
    <t>PLAN KOŃCOWY</t>
  </si>
  <si>
    <t xml:space="preserve">  c) równoważąca</t>
  </si>
  <si>
    <t>80148</t>
  </si>
  <si>
    <t>92120</t>
  </si>
  <si>
    <t>Ochrona zabytków i opieka nad zabytkami</t>
  </si>
  <si>
    <t xml:space="preserve">    - podatki zniesione</t>
  </si>
  <si>
    <t>Gimnazjum dla Dorosłych Wojewódzkiego Zakładu Doskonalenia Zawodowego</t>
  </si>
  <si>
    <t>Policealna Szkoła Centrum Nauki i Biznesu "Żak" w Świnoujściu</t>
  </si>
  <si>
    <t>Przedszkole Miejskie nr 1</t>
  </si>
  <si>
    <t>Przedszkole Miejskie nr 3</t>
  </si>
  <si>
    <t>Przedszkole Miejskie nr 5</t>
  </si>
  <si>
    <t>Przedszkole Miejskie nr 9</t>
  </si>
  <si>
    <t>Przedszkole Miejskie nr 10</t>
  </si>
  <si>
    <t>Przedszkole Miejskie nr 11</t>
  </si>
  <si>
    <t>§ 950</t>
  </si>
  <si>
    <t>Wolne środki, o których mowa w art. 217 ust 2 pkt 6 ustawy</t>
  </si>
  <si>
    <t>Realizacja działań z zakresu zapobiegania  i przeciwdziałania narkomanii adresowane do mieszkańców Świnoujścia</t>
  </si>
  <si>
    <t>Zadania w zakresie zapobiegania i przeciwdziałania alkoholizmowi</t>
  </si>
  <si>
    <t>Opieka nad osobami chorymi onkologicznie i ich rodzinami</t>
  </si>
  <si>
    <t>Utrzymanie dzieci umieszczonych w placówkach opiekuńczo-wychowawczych</t>
  </si>
  <si>
    <t>Utrzymanie dzieci umieszczonych w rodzinach zastępczych</t>
  </si>
  <si>
    <t>plan</t>
  </si>
  <si>
    <t>GMINA (bieżące)</t>
  </si>
  <si>
    <t>GMINA (majątkowe)</t>
  </si>
  <si>
    <t>Zagospodarowanie Basenu Północnego w Świnoujściu na port jachtowy</t>
  </si>
  <si>
    <t>POWIAT (bieżące)</t>
  </si>
  <si>
    <t>POWIAT (majątkowe)</t>
  </si>
  <si>
    <t>Środki na dofinansowanie własnych inwestycji gmin (związków gmin), powiatów (związków powiatów), samorządów województw, pozyskane z innych źródeł</t>
  </si>
  <si>
    <t>Finansowanie programów i projektów ze środków funduszy strukturalnych, Funduszu Spójności, Europejskiego Funduszu Rybackiego oraz z funduszy unijnych finansujących Wspólną Politykę Rolną, z wyłączeniem budżetu środków europejskich</t>
  </si>
  <si>
    <t>Wpłaty z tytułu odpłatnego nabycia prawa własności oraz prawa użytkowania wieczystego nieruchomości</t>
  </si>
  <si>
    <t>Stan środków pieniężnych na początek okresu sprawozdawczego</t>
  </si>
  <si>
    <t>Stan środków pieniężnych na koniec okresu sprawozdawczego</t>
  </si>
  <si>
    <t>Specjalny Ośrodek Szkolno-Wychowawczy</t>
  </si>
  <si>
    <t>Poradnia Psychologiczno-Pedagogiczna</t>
  </si>
  <si>
    <t>Młodzieżowy Dom Kultury</t>
  </si>
  <si>
    <t xml:space="preserve">% </t>
  </si>
  <si>
    <t>I.</t>
  </si>
  <si>
    <t>II.</t>
  </si>
  <si>
    <t>Wpływy z usług</t>
  </si>
  <si>
    <t>2650</t>
  </si>
  <si>
    <t>pokrycie amortyzacji</t>
  </si>
  <si>
    <t>RAZEM I+II</t>
  </si>
  <si>
    <t>Wpływy ze zwrotów dotacji oraz płatności, w tym wykorzystanych niezgodnie z przeznaczeniem lub wykorzystanych z naruszeniem procedur, o których mowa w art. 184 ustawy, pobranych nienależnie lub w nadmiernej wysokości</t>
  </si>
  <si>
    <t>III.</t>
  </si>
  <si>
    <t>Koszty i inne obciążenia ogółem</t>
  </si>
  <si>
    <t>Wydatki osobowe niezaliczone do wynagrodzeń</t>
  </si>
  <si>
    <t>Wynagrodzenia osobowe pracowników</t>
  </si>
  <si>
    <t>Dodatkowe wynagrodzenie roczne</t>
  </si>
  <si>
    <t>OGÓŁEM</t>
  </si>
  <si>
    <t>PLAN</t>
  </si>
  <si>
    <t>WYKONANIE</t>
  </si>
  <si>
    <t>Gmina</t>
  </si>
  <si>
    <t>Powiat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</si>
  <si>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</si>
  <si>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</si>
  <si>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</si>
  <si>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</si>
  <si>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</si>
  <si>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</si>
  <si>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2310</t>
  </si>
  <si>
    <t>2700</t>
  </si>
  <si>
    <t>Budowa mostu nad Starą Świną łączącego wyspy Karsibór i Wolin</t>
  </si>
  <si>
    <t>Stołówki szkolne i przedszkolne</t>
  </si>
  <si>
    <t>ADMINISTRACJA  PUBLICZNA</t>
  </si>
  <si>
    <t>85334</t>
  </si>
  <si>
    <t>Pomoc dla repatriantów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</si>
  <si>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</si>
  <si>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</si>
  <si>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</si>
  <si>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</si>
  <si>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</si>
  <si>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</si>
  <si>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</si>
  <si>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</si>
  <si>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 xml:space="preserve">Odsetki od nieterminowych wpłat z tytułu pozostałych podatków i opłat </t>
  </si>
  <si>
    <t>Kary i odszkodowania wypłacane na rzecz osób fizycznych</t>
  </si>
  <si>
    <t xml:space="preserve">Dotacja celowa z budżetu miasta </t>
  </si>
  <si>
    <t>Świadczenia urlopowe i inne wydatki osobowe</t>
  </si>
  <si>
    <t>Koszty wynajmu wystawy"Rafa koralowa"</t>
  </si>
  <si>
    <t>Wydatki inwestycyjne - zakup pieca c.o. i rzutnika</t>
  </si>
  <si>
    <t>Remont elewacji budynku niesfinansowany dotacją celową - koszty roku 2012</t>
  </si>
  <si>
    <t>Inne dochody na realizację miejskich imprez kulturalnych</t>
  </si>
  <si>
    <t>Pozostałe koszty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</si>
  <si>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</si>
  <si>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</si>
  <si>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</si>
  <si>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usługi lekarskie i porady</t>
  </si>
  <si>
    <t>,</t>
  </si>
  <si>
    <t>Zakup akcesoriów komputerowych, w tym programów i licencji</t>
  </si>
  <si>
    <t>odpisy amortyzacji</t>
  </si>
  <si>
    <t>inne zmniejszenia</t>
  </si>
  <si>
    <t>IV.</t>
  </si>
  <si>
    <t>RAZEM III+IV</t>
  </si>
  <si>
    <t>bezosobowy fundusz płac (umowy zlecenia i o dzieło)</t>
  </si>
  <si>
    <t>POZOSTAŁE PRZYCHODY OPERACYJNE</t>
  </si>
  <si>
    <t>POZOSTAŁE KOSZTY OPERACYJNE</t>
  </si>
  <si>
    <t>Adaptacja budynku przy ul. Mieszka I na laboratorium szpitalne</t>
  </si>
  <si>
    <t>KULTURA FIZYCZNA I SPORT</t>
  </si>
  <si>
    <t>Nazwa zadania inwestycyjnego</t>
  </si>
  <si>
    <t>Projekt zintegrowany "Śródmieście" - Przebudowa ulic: Hołdu Pruskiego, Wyszyńskiego i Monte Cassino</t>
  </si>
  <si>
    <t>Dochody z najmu i dzierżawy składników majątkowych Skarbu 
Państwa, jednostek samorządu terytorialnego lub innych jednostek zaliczanych do sektora finansów publicznych oraz innych umów o podobnym charakterze</t>
  </si>
  <si>
    <t>Finansowanie programów i projektów ze środków funduszy strukturalnych, Funduszu Spójności, Europejskiego Funduszu Rybackiego oraz z funduszy unijnych finansujących Wspólną Politykę Rolną</t>
  </si>
  <si>
    <t xml:space="preserve">Wykonane wydatków </t>
  </si>
  <si>
    <t>umowy zlecenia</t>
  </si>
  <si>
    <t>4.11</t>
  </si>
  <si>
    <t xml:space="preserve">      - uzupełnienie dochodów gminy</t>
  </si>
  <si>
    <t>Składki na ubezpieczenie zdrowotne opłacane za osoby pobierające niektóre świadczenia z pomocy społecznej, niektóre świadczenia rodzinne oraz za osoby uczestniczące w zajęciach w centrum integracji społecznej</t>
  </si>
  <si>
    <t>Współfinansowanie programów i projektów realizowanych ze środków funduszy strukturalnych, Funduszu Spójności, Europejskiego Funduszu Rybackiego oraz z funduszy unijnych finansujących Wspólną Politykę Rolną</t>
  </si>
  <si>
    <t>Środki na  inwestycje na drogach publicznych powiatowych i wojewódzkich oraz na drogach powiatowych, wojewódzkich i krajowych w granicach miast na prawach powiatu</t>
  </si>
  <si>
    <t>razem z pochodnymi od świadczeń społ.</t>
  </si>
  <si>
    <t>Zespół Szkolno-Przedszkolny</t>
  </si>
  <si>
    <t>Zakup usług zdrowotnych</t>
  </si>
  <si>
    <t>OŚRODEK SPORTU I REKREACJI "WYSPIARZ"</t>
  </si>
  <si>
    <t>Wpłaty na Państwowy Fundusz Rehabilitacji Osób Niepełnosprawnych</t>
  </si>
  <si>
    <t>Wydatki na zakupy inwestycyjne samorządowych zakładów budżetowych</t>
  </si>
  <si>
    <t>świadczenia finansowane z budżetu Miasta dotyczące terapii uzależnień od alkoholu i narkotyków oraz Program terapeutyczno-rehabilitacyjny dla osób z afazją i dyzartrią oraz prowadzenie wsparcia dla rodzin i opiekunów</t>
  </si>
  <si>
    <t>134,       143</t>
  </si>
  <si>
    <t>Zakup usług obejmujących wykonanie ekspertyz, analiz i opinii</t>
  </si>
  <si>
    <t>Podróże służbowe zagraniczne</t>
  </si>
  <si>
    <t>Opłaty na rzecz budżetów jednostek samorządu terytorialnego</t>
  </si>
  <si>
    <t>Wpłata do budżetu nadwyżki środków obrotowych</t>
  </si>
  <si>
    <t>V.</t>
  </si>
  <si>
    <t>Gimnazjum im. św. Jadwigi Królowej</t>
  </si>
  <si>
    <t>Katolickie Liceum Ogólnokształcące im. św. Jadwigi Królowej</t>
  </si>
  <si>
    <t>RAZEM III+IV+V</t>
  </si>
  <si>
    <t>Różnica
(5 - 6)</t>
  </si>
  <si>
    <t>- bieżąca</t>
  </si>
  <si>
    <t>- inwestycyjna</t>
  </si>
  <si>
    <t>4. Dochody z majątku</t>
  </si>
  <si>
    <t>transfery z budżetu państwa (dotacja)</t>
  </si>
  <si>
    <t>1.6</t>
  </si>
  <si>
    <t>programy unijne</t>
  </si>
  <si>
    <t>Stać mnie na więcej - przeciwdziałanie wykluczeniu społecznemu młodzieży w wieku 15-25 lat</t>
  </si>
  <si>
    <t>6180</t>
  </si>
  <si>
    <t>75803</t>
  </si>
  <si>
    <t>Część wyrównawcza subwencji ogólnej dla powiatów</t>
  </si>
  <si>
    <t>2009</t>
  </si>
  <si>
    <t>Tabela 1</t>
  </si>
  <si>
    <t>Tabela 2</t>
  </si>
  <si>
    <t xml:space="preserve">             Tabela nr 4</t>
  </si>
  <si>
    <t>Tabela nr  9</t>
  </si>
  <si>
    <t>Tabela nr 10</t>
  </si>
  <si>
    <t>Tabela nr 11</t>
  </si>
  <si>
    <t>Tabela nr 18</t>
  </si>
  <si>
    <t>Tabela 25</t>
  </si>
  <si>
    <t>Tabela 24</t>
  </si>
  <si>
    <t>Tabela 23</t>
  </si>
  <si>
    <t>Tabela 22</t>
  </si>
  <si>
    <t>Tabela 21</t>
  </si>
  <si>
    <t>Tabela 20</t>
  </si>
  <si>
    <t>transfery z budżetu państwa (dotacje, subwencje, udziały, rekompensaty)</t>
  </si>
  <si>
    <t>Rozdział 92118</t>
  </si>
  <si>
    <t>odpis na zakładowy fundusz świadczeń socjalnych</t>
  </si>
  <si>
    <t>Dotacje celowe otrzymane z budżetu państwa na inwestycje i zakupy inwestycyjne realizowane przez powiat na podstawie porozumień z organami administracji rządowej</t>
  </si>
  <si>
    <t>Finansowanie z pożyczek i kredytów zagranicznych</t>
  </si>
  <si>
    <t>różnica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</si>
  <si>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</si>
  <si>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Pozostałe podatki na rzecz budżetów jednostek samorządu terytorialnego</t>
  </si>
  <si>
    <t xml:space="preserve">    - targowa</t>
  </si>
  <si>
    <t>752</t>
  </si>
  <si>
    <t>75212</t>
  </si>
  <si>
    <t>Pozostałe wydatki obronne</t>
  </si>
  <si>
    <t>OBRONA NARODOWA</t>
  </si>
  <si>
    <t>75415</t>
  </si>
  <si>
    <t>Zadania Ratownictwa górskiego i wodnego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</si>
  <si>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</si>
  <si>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</si>
  <si>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Zasiłki i pomoc w naturze  oraz składki na ubezpieczenia emerytalne i rentowe</t>
  </si>
  <si>
    <t>dzierżawa, media, wypożyczenie sprzętu medycznego</t>
  </si>
  <si>
    <t>DOCHODY OD OSÓB PRAWNYCH, OD OSÓB FIZYCZNYCH I OD INNYCH JEDNOSTEK NIEPOSIADAJĄCYCH  OSOBOWOŚCI PRAWNEJ ORAZ WYDATKI ZWIĄZANE Z ICH POBOREM</t>
  </si>
  <si>
    <t>POZOSTAŁE ZADANIA W ZAKRESIE 
POLITYKI SPOŁECZNEJ</t>
  </si>
  <si>
    <t xml:space="preserve">  a)  z budżetu państwa na zadania własne (w tym dotacja uzdrowiskowa)</t>
  </si>
  <si>
    <t xml:space="preserve">  b) z budżetu państwa na zadania z zakresu administracji rządowej</t>
  </si>
  <si>
    <t xml:space="preserve">  c) z budżetu państwa na zadania realizowane na podstawie porozumień z organami administracji rządowej</t>
  </si>
  <si>
    <t xml:space="preserve">  d) na zadania realizowane na podstawie porozumień z innymi jst lub z tytułu pomocy finansowej udzielonej między jst</t>
  </si>
  <si>
    <t xml:space="preserve">  e) pozostałe dotacje (np. rozwojowe, z funduszu celowego)</t>
  </si>
  <si>
    <t>Uzupełnienie subwencji ogólnej dla jednostek 
samorządu terytorialnego</t>
  </si>
  <si>
    <t>Składki na ubezpieczenie zdrowotne oraz świadczenia dla osób nieobjętych obowiązkiem ubezpieczenia zdrowotnego</t>
  </si>
  <si>
    <t>Ośrodki rewalidacyjno-wychowawcze</t>
  </si>
  <si>
    <t xml:space="preserve">Dział  </t>
  </si>
  <si>
    <t>ROLNICTWO I ŁOWIECTWO</t>
  </si>
  <si>
    <t>01008</t>
  </si>
  <si>
    <t>Melioracje wodne</t>
  </si>
  <si>
    <t>01030</t>
  </si>
  <si>
    <t>Izby rolnicze</t>
  </si>
  <si>
    <t>01095</t>
  </si>
  <si>
    <t xml:space="preserve">LEŚNICTWO </t>
  </si>
  <si>
    <t>WYTWARZANIE I ZAOPATRYWANIE 
W ENERGIĘ ELEKTRYCZNĄ, GAZ I WODĘ</t>
  </si>
  <si>
    <t>40002</t>
  </si>
  <si>
    <t>Dostarczanie wody</t>
  </si>
  <si>
    <t>HANDEL</t>
  </si>
  <si>
    <t>Zadania w zakresie kultury i ochrony dziedzictwa narodowego</t>
  </si>
  <si>
    <t>Ośrodek Sportu i Rekreacji "Wyspiarz"</t>
  </si>
  <si>
    <t>Zespół Szkół Publicznych nr 4 
z Oddziałami Integracyjnymi</t>
  </si>
  <si>
    <t>Prowadzenie spraw orzekania o niepełnosprawności</t>
  </si>
  <si>
    <t>Tabela nr 8</t>
  </si>
  <si>
    <t>50095</t>
  </si>
  <si>
    <t>Programy polityki zdrowotnej</t>
  </si>
  <si>
    <t xml:space="preserve">   - wynagrodzenia i pochodne</t>
  </si>
  <si>
    <t>63095</t>
  </si>
  <si>
    <t xml:space="preserve">Pozostała działalność </t>
  </si>
  <si>
    <t>70001</t>
  </si>
  <si>
    <t xml:space="preserve"> I Liceum Ogólnokształcące Towarzystwa Oświatowo-Promocyjnego "Business-Pro"</t>
  </si>
  <si>
    <t>Zakłady gospodarki mieszkaniowej</t>
  </si>
  <si>
    <t>70095</t>
  </si>
  <si>
    <t>71004</t>
  </si>
  <si>
    <t xml:space="preserve">INFORMACJA O WYSOKOŚCI DEFICYTU BUDŻETOWEGO  </t>
  </si>
  <si>
    <t>Plany zagospodarowania przestrzennego</t>
  </si>
  <si>
    <t>75022</t>
  </si>
  <si>
    <t>Rady gmin (miast i miast na prawach powiatu)</t>
  </si>
  <si>
    <t xml:space="preserve">Urzędy naczelnych organów władzy państwowej,
kontroli i ochrony prawa </t>
  </si>
  <si>
    <t>75405</t>
  </si>
  <si>
    <t>Komendy powiatowe Policji</t>
  </si>
  <si>
    <t>75412</t>
  </si>
  <si>
    <t>Ochotnicze straże pożarne</t>
  </si>
  <si>
    <t>75495</t>
  </si>
  <si>
    <t>90019</t>
  </si>
  <si>
    <t>75478</t>
  </si>
  <si>
    <t>Usuwanie skutków klęsk żywiołowych</t>
  </si>
  <si>
    <t>Wpływy do budżetu pozostałości środków finansowych gromadzonych na wydzielonym rachunku jednostki budżetowej</t>
  </si>
  <si>
    <t>różnica (Rb 27 - zestawienie) dochody bieżące</t>
  </si>
  <si>
    <t xml:space="preserve">    - wpływ pozostałości środków z rachunku dochodów własnych jednostek</t>
  </si>
  <si>
    <t>DOCHODY OD OSÓB PRAWNYCH, OD OSÓB FIZYCZNYCH I OD INNYCH JEDNOSTEK NIEPOSIADAJĄCYCH OSOBOWOŚCI PRAWNEJ ORAZ WYDATKI ZWIĄZANE Z ICH POBOREM</t>
  </si>
  <si>
    <t>Zasiłki stałe</t>
  </si>
  <si>
    <t xml:space="preserve">    - od posiadania psów</t>
  </si>
  <si>
    <t>Prowadzenie schroniska dla zwierząt</t>
  </si>
  <si>
    <t>75647</t>
  </si>
  <si>
    <t>Pobór podatków, opłat i niepodatkowych należności budżetowych</t>
  </si>
  <si>
    <t>Podatek od towarów i usług (VAT)</t>
  </si>
  <si>
    <t>OBSŁUGA DŁUGU PUBLICZNEGO</t>
  </si>
  <si>
    <t>75702</t>
  </si>
  <si>
    <t xml:space="preserve">ZAKŁAD GOSPODARKI MIESZKANIOWEJ </t>
  </si>
  <si>
    <t>Rozdział 70001</t>
  </si>
  <si>
    <t>Rozdział 92605</t>
  </si>
  <si>
    <t>Rozdział 92109</t>
  </si>
  <si>
    <t>Obsługa papierów wartościowych, kredytów 
i pożyczek jednostek samorządu terytorialnego</t>
  </si>
  <si>
    <t>80102</t>
  </si>
  <si>
    <t>Szkoły podstawowe specjalne</t>
  </si>
  <si>
    <t>Kwalifikacja wojskowa</t>
  </si>
  <si>
    <t>80104</t>
  </si>
  <si>
    <t>Przedszkola</t>
  </si>
  <si>
    <t xml:space="preserve">Wartość wydatków </t>
  </si>
  <si>
    <t>Ośrodek Rehabilitacyjno-Edukacyjno-Wychowawczy Polskiego Stowarzyszenia na Rzecz Osób z Upośledzeniem Umysłowym Koło w Świnoujściu</t>
  </si>
  <si>
    <t>usługi gastronomiczne</t>
  </si>
  <si>
    <t>usługi gastronomiczne (wyżywienie pacjentów)</t>
  </si>
  <si>
    <t>80111</t>
  </si>
  <si>
    <t>Gimnazja specjalne</t>
  </si>
  <si>
    <t xml:space="preserve">Licea ogólnokształcące </t>
  </si>
  <si>
    <t>80134</t>
  </si>
  <si>
    <t>Szkoły zawodowe specjalne</t>
  </si>
  <si>
    <t>80140</t>
  </si>
  <si>
    <t>Centra kształcenia ustawicznego i praktycznego 
oraz ośrodki dokształcania zawodowego</t>
  </si>
  <si>
    <t>80146</t>
  </si>
  <si>
    <t>Dokształcanie i doskonalenie nauczycieli</t>
  </si>
  <si>
    <t>80195</t>
  </si>
  <si>
    <t>85111</t>
  </si>
  <si>
    <t>Szpitale ogólne</t>
  </si>
  <si>
    <t>85117</t>
  </si>
  <si>
    <t>Tabela nr 16</t>
  </si>
  <si>
    <t xml:space="preserve">Zużycie materiałów </t>
  </si>
  <si>
    <t>Zakłady opiekuńczo - lecznicze i pielęgnacyjno - opiekuńcze</t>
  </si>
  <si>
    <t>85149</t>
  </si>
  <si>
    <t xml:space="preserve">Programy polityki zdrowotnej </t>
  </si>
  <si>
    <t>85152</t>
  </si>
  <si>
    <t>Zapobieganie i zwalczanie AIDS</t>
  </si>
  <si>
    <t>85153</t>
  </si>
  <si>
    <t>Zwalczanie narkomanii</t>
  </si>
  <si>
    <t>85195</t>
  </si>
  <si>
    <t xml:space="preserve">POMOC SPOŁECZNA 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</si>
  <si>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</si>
  <si>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</si>
  <si>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</si>
  <si>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</si>
  <si>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</si>
  <si>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</si>
  <si>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</si>
  <si>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POZOSTAŁE ZADANIA W ZAKRESIE POLITYKI SPOŁECZNEJ</t>
  </si>
  <si>
    <t>Żłobki</t>
  </si>
  <si>
    <t>85333</t>
  </si>
  <si>
    <t>Powiatowe urzędy pracy</t>
  </si>
  <si>
    <t>85395</t>
  </si>
  <si>
    <t>85401</t>
  </si>
  <si>
    <t>Świetlice szkolne</t>
  </si>
  <si>
    <t>§ 902</t>
  </si>
  <si>
    <t>Przychody ze spłat pożyczek udzielonych na finansowanie zadań realizowanych z udziałem środków pochodzących z budżetu Unii Europejskiej</t>
  </si>
  <si>
    <t>Przychody ze spłat pożyczek i kredytów udzielonych ze środków publicznych</t>
  </si>
  <si>
    <t>§ 951</t>
  </si>
  <si>
    <r>
      <t xml:space="preserve">Spłaty otrzymanych krajowych pożyczek i kredytów
</t>
    </r>
    <r>
      <rPr>
        <i/>
        <sz val="10"/>
        <rFont val="Times New Roman"/>
        <family val="1"/>
      </rPr>
      <t>w tym:</t>
    </r>
  </si>
  <si>
    <t>55095</t>
  </si>
  <si>
    <t>Dotacje celowe otrzymane z budżetu panstwa na zadania bieżące realizowane przez gminę na podstawie porozumień z organami administracji rządowej</t>
  </si>
  <si>
    <t>2900</t>
  </si>
  <si>
    <t xml:space="preserve">Projekt zintegrowany "Śródmieście" - Przebudowa Parku przy ul. Chopina </t>
  </si>
  <si>
    <t>Dojazd do Zespołu Szkół Ogólnokształcących - I etap - przebudowa drogi od. ul. Kościuszki</t>
  </si>
  <si>
    <t>Wpływy z opłat za trwały zarząd, użytkowanie, służebności i użytkowanie wieczyste nieruchomości</t>
  </si>
  <si>
    <t>Wpływy z wpłat gmin i powiatów na rzecz innych jednostek samorządu terytorialnego oraz związków gmin lub związków powiatów na dofinansowanie zadń bieżących</t>
  </si>
  <si>
    <t xml:space="preserve">                                                     </t>
  </si>
  <si>
    <t>§092</t>
  </si>
  <si>
    <t>§090, 091, 092</t>
  </si>
  <si>
    <t>§001</t>
  </si>
  <si>
    <t>§002</t>
  </si>
  <si>
    <t>§031</t>
  </si>
  <si>
    <t>§032</t>
  </si>
  <si>
    <t>§033</t>
  </si>
  <si>
    <t>§034</t>
  </si>
  <si>
    <t>§035</t>
  </si>
  <si>
    <t>§036</t>
  </si>
  <si>
    <t>§037</t>
  </si>
  <si>
    <t>§039</t>
  </si>
  <si>
    <t>§040</t>
  </si>
  <si>
    <t>§041</t>
  </si>
  <si>
    <t>§042</t>
  </si>
  <si>
    <t>§043</t>
  </si>
  <si>
    <t>§046</t>
  </si>
  <si>
    <t>§048</t>
  </si>
  <si>
    <t>§050</t>
  </si>
  <si>
    <t>§056</t>
  </si>
  <si>
    <t>§059</t>
  </si>
  <si>
    <t>§ 268, 069</t>
  </si>
  <si>
    <t>§049</t>
  </si>
  <si>
    <t>§047,075,076,077,087</t>
  </si>
  <si>
    <t>§ 203, 287,633</t>
  </si>
  <si>
    <t>§279</t>
  </si>
  <si>
    <t>§292</t>
  </si>
  <si>
    <t xml:space="preserve">   - nadwyżka środków obrotowychwpłacona przez zakład budżetowy</t>
  </si>
  <si>
    <t>§237</t>
  </si>
  <si>
    <t>§240</t>
  </si>
  <si>
    <t>§291</t>
  </si>
  <si>
    <t>§270, 629</t>
  </si>
  <si>
    <t>§269</t>
  </si>
  <si>
    <t>§083</t>
  </si>
  <si>
    <t>§057, 058</t>
  </si>
  <si>
    <t>§084, 096, 097, 299, 688,290</t>
  </si>
  <si>
    <t>75421</t>
  </si>
  <si>
    <t xml:space="preserve"> Zarządzanie kryzysowe</t>
  </si>
  <si>
    <r>
      <t>Zakład Gospodarki Mieszkaniowej</t>
    </r>
    <r>
      <rPr>
        <sz val="10"/>
        <rFont val="Times New Roman"/>
        <family val="1"/>
      </rPr>
      <t xml:space="preserve">
Dopłata do utrzymania 1m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użytkowej komunalnych zasobów mieszkaniowych</t>
    </r>
  </si>
  <si>
    <t>Zadania w zakresie ratownictwa wodnego</t>
  </si>
  <si>
    <t>z wydruku:</t>
  </si>
  <si>
    <t>Pobyt dzieci w niepublicznym żłobku</t>
  </si>
  <si>
    <t>§283</t>
  </si>
  <si>
    <t>§280 
i 236</t>
  </si>
  <si>
    <t>§255</t>
  </si>
  <si>
    <t>wg REKORDU gmina łącznie</t>
  </si>
  <si>
    <t>wg Rb 50</t>
  </si>
  <si>
    <t>?</t>
  </si>
  <si>
    <t>wykonanie doch</t>
  </si>
  <si>
    <t>wyk.wyd</t>
  </si>
  <si>
    <t>zlecone i por</t>
  </si>
  <si>
    <t>SUMA</t>
  </si>
  <si>
    <t>1 + 2</t>
  </si>
  <si>
    <t>Różnica
 (5-8)</t>
  </si>
  <si>
    <t>6208</t>
  </si>
  <si>
    <t>Dotacja celowa w ramach programów finansowanych z udziałem środków europejskich oraz środków, o których mowa w art. 5 ust. 1 pkt 3 oraz ust. 3 pkt 5 i 6 ustawy, lub płatności w ramach budżetu środków europejskich</t>
  </si>
  <si>
    <t>Kary i odszkodowania wypłacane na rzecz osób prawnych i innych jednostek organizacyjnych</t>
  </si>
  <si>
    <t>Inne dochody</t>
  </si>
  <si>
    <t>Pozostałe wydatki</t>
  </si>
  <si>
    <t>Miejskie imprezy kulturalne</t>
  </si>
  <si>
    <t>Dotacja z budżetu miasta na działalność podstawową</t>
  </si>
  <si>
    <t>Sprzedaż biletów i wydawnictw</t>
  </si>
  <si>
    <t>Środki od LGR na dofinansowanie wystawy PPDiUR ODRA</t>
  </si>
  <si>
    <t>Środki z UE na dofinansowanie remontu budynku Muzeum</t>
  </si>
  <si>
    <t xml:space="preserve">Dotacja z budżetu miasta na wykonanie remontów </t>
  </si>
  <si>
    <t>Niedobór do rozliczenia</t>
  </si>
  <si>
    <t>Składki członkowskie i ubezpieczenie mienia</t>
  </si>
  <si>
    <t xml:space="preserve">Podróże służbowe </t>
  </si>
  <si>
    <t>Zakup usług obcych</t>
  </si>
  <si>
    <t>Świadczenia na rzecz pracowników</t>
  </si>
  <si>
    <t>przychody z pozostałej działalności</t>
  </si>
  <si>
    <t>materiały i akcesoria do sprzątania</t>
  </si>
  <si>
    <t>materiały biurowe (w tym druki medyczne i recepty, prasa fachowa)</t>
  </si>
  <si>
    <t>produkty spożywcze i preparaty odżywcze</t>
  </si>
  <si>
    <t>materiały opatrunkowe</t>
  </si>
  <si>
    <t>leki i wyroby farmaceutyczne</t>
  </si>
  <si>
    <t>krew i produkty krwiopochodne</t>
  </si>
  <si>
    <t>materiały diagnostyczne, kasety do analizatora OIOM</t>
  </si>
  <si>
    <t>badania: tomografia, rezonans, gastroskopia, EPW, EMG itp.</t>
  </si>
  <si>
    <t>transport medyczny</t>
  </si>
  <si>
    <t>usługi transportowe pozostałe</t>
  </si>
  <si>
    <t>monitoring obiektów - dozór</t>
  </si>
  <si>
    <t>remonty pomieszczeń</t>
  </si>
  <si>
    <t>usługi bankowe (w tym opłaty za przelewy)</t>
  </si>
  <si>
    <t>badanie i ogłaszanie sprawozdania finansowego</t>
  </si>
  <si>
    <t>pozostałe usługi (w tym: dzierżawa radiotelefonów, pomiar dozometryczny, certyfikat podpis elektroniczny, sekcja i czynności przy sekcji oraz pozostałóe drobne usługi)</t>
  </si>
  <si>
    <t>wg wydruku z Rekordu</t>
  </si>
  <si>
    <t>złe dane (żle drukuje G+P)</t>
  </si>
  <si>
    <t>Projekt zintegrowany "Śródmieście" - Przebudowa ulic Hołdu Pruskiego, Wyszyńskiego i Monte Cassino</t>
  </si>
  <si>
    <t>Jednostka realizująca projekt</t>
  </si>
  <si>
    <t>Urząd Miasta (WE)</t>
  </si>
  <si>
    <t>Urząd Miasta
 (WIM)</t>
  </si>
  <si>
    <t>Miejski Ośrodek Pomocy Rodzinie</t>
  </si>
  <si>
    <t>Powiatowy Urząd Pracy</t>
  </si>
  <si>
    <t>Urząd Miasta
 (WRG)</t>
  </si>
  <si>
    <t>Przebudowa ulicy Sosnowej</t>
  </si>
  <si>
    <t>Przygotowanie terenów inwestycyjnych Dzielnicy Nadmorskiej pomiędzy ulicami Małachowskiego i Plażową</t>
  </si>
  <si>
    <t>Budowa szkolnego ośrodka żeglarskiego w Przytorze</t>
  </si>
  <si>
    <t>Modernizacja boiska sportowego przy Liceum Ogólnokształcącym im. Mieszka I</t>
  </si>
  <si>
    <t>Budowa nowego przyłącza elektroenergetycznego do Zespołu Szkół Morskich</t>
  </si>
  <si>
    <t>Tworzenie specjalistycznych placówek opiekuńczo - wychowawczych wsparcia dziennego</t>
  </si>
  <si>
    <t>wg rekordu</t>
  </si>
  <si>
    <t>Projekt zintegrowany "Śródmieście" - Przebudowa Parku przy ul. Chopina</t>
  </si>
  <si>
    <t>Lokalny program Rewitalizacji Miasta 2010-2020 - Aktywizacja społeczna - Przebudowa wraz z wyposażeniem pomieszczeń Dziennego Domu Pobytu przy ul. Piłsudskiego 11</t>
  </si>
  <si>
    <t>Zagospodarowanie Basenu Północnego w Świnoujsciu na port jachtowy</t>
  </si>
  <si>
    <t>pozostałe usługi obce, w tym medyczne</t>
  </si>
  <si>
    <t>wynagrodzeni z tyt. umów o pracę</t>
  </si>
  <si>
    <t xml:space="preserve">   - wydatki związane z realizacją zadań statutowych( w tym na jednostki pomocnicze)</t>
  </si>
  <si>
    <t>NOWE</t>
  </si>
  <si>
    <t>Melioracja terenów zurbanizowanych na obszarze Miasta Świnoujście</t>
  </si>
  <si>
    <t>- w tym wydatki na rzecz jednostek pomocniczych</t>
  </si>
  <si>
    <t xml:space="preserve">Tabela nr 12 </t>
  </si>
  <si>
    <t>Tabela nr 14</t>
  </si>
  <si>
    <t>Tabela 19</t>
  </si>
  <si>
    <t>środki unijne</t>
  </si>
  <si>
    <t>wkład krajowy (własny)</t>
  </si>
  <si>
    <t>Tabela nr 15</t>
  </si>
  <si>
    <t>Nr strony z opisem wydatków</t>
  </si>
  <si>
    <t>x</t>
  </si>
  <si>
    <t>Wpływy do budżetu nadwyżki środków obrotowych samorządowego zakładu budżetowego</t>
  </si>
  <si>
    <t xml:space="preserve">Edukacyjny plac zabaw na terenie Parku Zdrojowego w Świnoujściu w ramach projektu "Morze Bałtyckie - łączące wyspy, kraje kultury i regiony przyrodnicze - wspólny polsko-niemiecki projekt w zakresie edukacji ekologicznej </t>
  </si>
  <si>
    <t>- spłata udzielonych pożyczek</t>
  </si>
  <si>
    <r>
      <t xml:space="preserve">Wynagrodzenia i składki od nich naliczane </t>
    </r>
    <r>
      <rPr>
        <sz val="9"/>
        <rFont val="Times New Roman"/>
        <family val="1"/>
      </rPr>
      <t>(wraz ze składkami od świadczeń)</t>
    </r>
  </si>
  <si>
    <t>pozostałe dotacje (w tym rozwojowe)</t>
  </si>
  <si>
    <t>Otrzymane środki
 (§ 2900)
ogółem</t>
  </si>
  <si>
    <r>
      <t xml:space="preserve">Wynagrodzenia i składki od nich naliczane </t>
    </r>
    <r>
      <rPr>
        <sz val="10"/>
        <rFont val="Times New Roman"/>
        <family val="1"/>
      </rPr>
      <t>(wraz ze składkami od świadczeń)</t>
    </r>
  </si>
  <si>
    <t>OD 2012 R. DOCHODY SĄ W § 2900  A NIE § 2320</t>
  </si>
  <si>
    <r>
      <t xml:space="preserve">DOCHODY I WYDATKI ZWIĄZANE Z REALIZACJĄ ZADAŃ WYKONYWANYCH NA PODSTAWIE POROZUMIEŃ (UMÓW) 
MIĘDZY JEDNOSTKAMI SAMORZĄDU TERYTORIALNEGO   
</t>
    </r>
    <r>
      <rPr>
        <sz val="10"/>
        <rFont val="Times New Roman"/>
        <family val="1"/>
      </rPr>
      <t>(F</t>
    </r>
    <r>
      <rPr>
        <sz val="10"/>
        <rFont val="Times New Roman"/>
        <family val="1"/>
      </rPr>
      <t xml:space="preserve">INANSOWANE ZADAŃ BIEŻĄCYCH Z WPŁAT INNYCH POWIATÓW) </t>
    </r>
  </si>
  <si>
    <t>VI.</t>
  </si>
  <si>
    <t>RAZEM III+IV+V+VI</t>
  </si>
  <si>
    <t>W zestawieniu nie ujmuje się wydatków  związanych ze zwrotem dotacji (w ramach § 2910 i §6660)</t>
  </si>
  <si>
    <t xml:space="preserve">Edukacyjny plac zabaw na terenie Parku Zdrojowego w Świnoujściu w ramach projektu "Morze Bałtyckie - łączące wyspy, kraje kultury i regiony przyrodnicze - wspólny polsko-niemiecki projekt edukacji ekologicznej </t>
  </si>
  <si>
    <t>Dotacja przedmiotowa z budżetu otrzymana przez zakład budżetowy (netto)</t>
  </si>
  <si>
    <t>Dotacja przedmiotowa z budżetu otrzymana przez zakład budżetowy (brutto)</t>
  </si>
  <si>
    <t>Składki na ubezpieczenie społeczne i Fundusz Pracy</t>
  </si>
  <si>
    <t xml:space="preserve"> - </t>
  </si>
  <si>
    <t>07.01.2013 r.</t>
  </si>
  <si>
    <t>6/2013</t>
  </si>
  <si>
    <t>17.01.2013 r.</t>
  </si>
  <si>
    <t>XXXIV/271/2013</t>
  </si>
  <si>
    <t>65/2013</t>
  </si>
  <si>
    <t>134/2013</t>
  </si>
  <si>
    <t>28.01.2013 r.</t>
  </si>
  <si>
    <t>28.02.2013 r.</t>
  </si>
  <si>
    <t>135/2013</t>
  </si>
  <si>
    <t>12.03.2013 r.</t>
  </si>
  <si>
    <t>165/2013</t>
  </si>
  <si>
    <t>28.03.2013 r.</t>
  </si>
  <si>
    <t>XXXVI/293/2013</t>
  </si>
  <si>
    <t>29.03.2013 r.</t>
  </si>
  <si>
    <t>204/2013</t>
  </si>
  <si>
    <t>205/2013</t>
  </si>
  <si>
    <t>12.04.2013 r.</t>
  </si>
  <si>
    <t>239/2013</t>
  </si>
  <si>
    <t>26.04.2013 r.</t>
  </si>
  <si>
    <t>274/2013</t>
  </si>
  <si>
    <t>276/2013</t>
  </si>
  <si>
    <t>14.05.2013 r.</t>
  </si>
  <si>
    <t>297/2013</t>
  </si>
  <si>
    <t>23.05.2013 r.</t>
  </si>
  <si>
    <t>XXXVIII/314/2013</t>
  </si>
  <si>
    <t>31.05.2013 r.</t>
  </si>
  <si>
    <t>353/2013</t>
  </si>
  <si>
    <t>354/2013</t>
  </si>
  <si>
    <t>17.06.2013 r.</t>
  </si>
  <si>
    <t>387/2013</t>
  </si>
  <si>
    <t>25.06.2013 r.</t>
  </si>
  <si>
    <t>411/2013</t>
  </si>
  <si>
    <t>27.06.2013 r.</t>
  </si>
  <si>
    <t>XL/323/2013</t>
  </si>
  <si>
    <t>28.06.2013 r.</t>
  </si>
  <si>
    <t>419/2013</t>
  </si>
  <si>
    <t>420/2013</t>
  </si>
  <si>
    <t>§ 903</t>
  </si>
  <si>
    <t>Przychody z zaciągniętych pożyczek na finansowanie zadań realizowanych z udziałem środków pochodzących z budżetu Unii Europejskiej</t>
  </si>
  <si>
    <t>WYDATKI  KTÓRE NIE WYGASŁY Z UPŁYWEM ROKU BUDŻETOWEGO 2012</t>
  </si>
  <si>
    <t>Przebudowa siłowni okrętowej promu Karsibór II</t>
  </si>
  <si>
    <t>Budowa centralnego układu komunikacyjnego śródmieście w Świnoujściu</t>
  </si>
  <si>
    <t>Projekt zintegrowany Śródmieście – Przebudowa Parku przy ul. Chopina</t>
  </si>
  <si>
    <t>Zagospodarowanie terenów rekreacyjno – wypoczynkowych przy ul. Malczewskiego</t>
  </si>
  <si>
    <t>Aktualizacja projektu założeń do planu zaopatrzenia w ciepło, energię elektryczną i paliwa gazowe</t>
  </si>
  <si>
    <t>uwagi: 85154- plan 460.000,00 wykonanie 347.884,05, z tego śr.UE:142.576,98</t>
  </si>
  <si>
    <t>85154 /            90004</t>
  </si>
  <si>
    <t xml:space="preserve">Zagospodarowanie terenów rekreacyjno-wypoczynkowych przy ul. Malczewskiego </t>
  </si>
  <si>
    <t>Budowa Centrum Kultury i Sportu przy ul. Matejki - budowa zadaszenia amfiteatru</t>
  </si>
  <si>
    <t xml:space="preserve">Składki na ubezpieczenia społeczne </t>
  </si>
  <si>
    <t>75704</t>
  </si>
  <si>
    <t>Rozliczenia z tytułu poręczeń i gwarancji udzielonych przez Skarb Państwa lub jednostkę samorządu terytorialnego</t>
  </si>
  <si>
    <t>Zagospodarowanie terenu przy SP nr 6 - modernizacja boiska sportowego</t>
  </si>
  <si>
    <t>ZGM</t>
  </si>
  <si>
    <t>Mieszkam ładnie i bezpiecznie - renowacja budynków przy ul. Wyszyńskiego 1,7 i 8</t>
  </si>
  <si>
    <t>Urząd Miasta
 (SP6)</t>
  </si>
  <si>
    <t>Urząd Miasta
 (LOzOI)</t>
  </si>
  <si>
    <t xml:space="preserve">Budowa targowiska miejskiego wraz z niezbędną infrastrukturą </t>
  </si>
  <si>
    <t>Dofinansowanie prac związanych z zagospodarowaniem terenu pod plac biwakowy w Karsiborzu</t>
  </si>
  <si>
    <t>Przebudowa chodników i jezdni w drogach powiatowych</t>
  </si>
  <si>
    <t>Budowa kładki dla pieszych i rowerzystów nad linią kolejową w Łunowie</t>
  </si>
  <si>
    <t>Budowa systemu parkingowego w mieście</t>
  </si>
  <si>
    <t>Międzynarodowy Bałtycki Szlak Rowerowy R-10 Stralsund - Świnoujście - ul. Uzdrowiskowa, wzdłuż Świny i ul. Barlickiego</t>
  </si>
  <si>
    <t>Przebudowa przystani jachtowej w Łunowie</t>
  </si>
  <si>
    <t>Budowa budynków mieszkalnych z lokalami socjalnymi w Świnoujściu</t>
  </si>
  <si>
    <t>Rozbudowa cmentarza komunalnego w Świnoujściu</t>
  </si>
  <si>
    <t>Adaptacja budynku przy ul. Wyspiańskiego 35 na potrzeby administracji miejskiej</t>
  </si>
  <si>
    <t>Wykonanie przebudowy wewnętrznych instalacji elektrycznych w obiektach szkół podstawowych na terenie miasta</t>
  </si>
  <si>
    <t>Utworzenie szkolnego placu zabaw przy Szkole Podstawowej nr 9 przy ul. Sąsiedzkiej w Przytorze</t>
  </si>
  <si>
    <t>Wykonanie przebudowy wewnętrznych instalacji elektrycznych w obiektach przedszkolnych na terenie miasta</t>
  </si>
  <si>
    <t>Wykonanie przebudowy wewnętrznych instalacji elektrycznych w obiektach szkół gimnazjalnych na terenie miasta</t>
  </si>
  <si>
    <t>Budowa nowego przyłącza elektroenergetycznego do Centrum Edukacji Zawodowej i Turystyki przy ul. Gdyńskiej w Świnoujściu</t>
  </si>
  <si>
    <t>Utworzenie Pracowni Badań Tomografii Komputerowej w Szpitalu Miejskim w Świnoujściu</t>
  </si>
  <si>
    <t>Utworzenie ogrzewalni dla osób bezdomnych na terenie schroniska dla osób bezdomnych przy ul. Portowej 10                w Świnoujściu</t>
  </si>
  <si>
    <t>Rewaloryzacja zabytkowego Parku Zdrojowego w Świnoujściu</t>
  </si>
  <si>
    <t>Zagospodarowanie terenów rekreacyjno-wypoczynkowych przy ul. Malczewskiego</t>
  </si>
  <si>
    <t>Budowa Centrum Kultury i Sportu przy ul. Matejki - Budowa zadaszenia amfiteatru</t>
  </si>
  <si>
    <t>85206</t>
  </si>
  <si>
    <t>Wspieranie rodziny</t>
  </si>
  <si>
    <t>Poradnie psychologiczno - pedagogiczne, w tym poradnie specjalistyczne</t>
  </si>
  <si>
    <t>Placówki wychowania pozaszkolnego</t>
  </si>
  <si>
    <t>Internaty i bursy szkolne</t>
  </si>
  <si>
    <t>Szkolne schroniska młodzieżowe</t>
  </si>
  <si>
    <t>85419</t>
  </si>
  <si>
    <t>85446</t>
  </si>
  <si>
    <t>85495</t>
  </si>
  <si>
    <t>2680</t>
  </si>
  <si>
    <t>Rekompensaty utraconych dochodów w podatkach i opłatach lokalnych</t>
  </si>
  <si>
    <t>6260</t>
  </si>
  <si>
    <t>6300</t>
  </si>
  <si>
    <t>92695</t>
  </si>
  <si>
    <t>2710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</si>
  <si>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</si>
  <si>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samorządu terytorialnego na dofinansowanie własnych zadań inwestycyjnych i zakupów inwestycyjnych</t>
  </si>
  <si>
    <t>pozostałe wydatki</t>
  </si>
  <si>
    <t>Wpływy z tytułu pomocy finansowej udzielanej między jednostkami samorządu terytorialnego na dofinansowanie własnych zadań bieżących</t>
  </si>
  <si>
    <t>Drogi publiczne krajowe</t>
  </si>
  <si>
    <t>Dotacje celowe otrzymane z budżetu państwa na 
realizację inwestycji i zakupów inwestycyjnych własnych powiatu</t>
  </si>
  <si>
    <t>GOSPODARKA KOMUNALNA I OCHRONA ŚRODOWISKA</t>
  </si>
  <si>
    <t>90004</t>
  </si>
  <si>
    <t>Utrzymanie zieleni w miastach i gminach</t>
  </si>
  <si>
    <t>90006</t>
  </si>
  <si>
    <t>Ochrona gleby i wód podziemnych</t>
  </si>
  <si>
    <t>90013</t>
  </si>
  <si>
    <t>Świadczenia rodzinne, świadczenie z funduszu alimentacyjnego oraz składki na ubezpieczenia emerytalne i rentowe z ubezpieczenia społecznego</t>
  </si>
  <si>
    <t>Przychody z zaciągniętych pożyczek i kredytów na rynku krajowym</t>
  </si>
  <si>
    <t>§ 952</t>
  </si>
  <si>
    <t>- obligacje komunalne</t>
  </si>
  <si>
    <t>Schroniska dla zwierząt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</si>
  <si>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</si>
  <si>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</si>
  <si>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</si>
  <si>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</si>
  <si>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</si>
  <si>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</si>
  <si>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</si>
  <si>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</si>
  <si>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I. Dochody własne</t>
  </si>
  <si>
    <t>1. Podatki</t>
  </si>
  <si>
    <t>27.</t>
  </si>
  <si>
    <t>28.</t>
  </si>
  <si>
    <t>29.</t>
  </si>
  <si>
    <t>AMORTYZACJA</t>
  </si>
  <si>
    <t>ZUŻYCIE MATERIAŁÓW</t>
  </si>
  <si>
    <t>leki</t>
  </si>
  <si>
    <t>pieluchomajtki</t>
  </si>
  <si>
    <t xml:space="preserve">środki czystości </t>
  </si>
  <si>
    <t>2.6</t>
  </si>
  <si>
    <t>2708</t>
  </si>
  <si>
    <t>wyposażenie</t>
  </si>
  <si>
    <t>ENERGIA</t>
  </si>
  <si>
    <t>3.1</t>
  </si>
  <si>
    <t>energia elektryczna</t>
  </si>
  <si>
    <t>3.2</t>
  </si>
  <si>
    <t>woda, ścieki</t>
  </si>
  <si>
    <t>3.3</t>
  </si>
  <si>
    <t>gaz</t>
  </si>
  <si>
    <t>USŁUGI OBCE</t>
  </si>
  <si>
    <t>4.1</t>
  </si>
  <si>
    <t>analizy i badania</t>
  </si>
  <si>
    <t>4.2</t>
  </si>
  <si>
    <t>usługi pralnicze</t>
  </si>
  <si>
    <t>4.3</t>
  </si>
  <si>
    <t>32.</t>
  </si>
  <si>
    <t>Prowadzenie środowiskowego domu samopomocy</t>
  </si>
  <si>
    <t>Przebudowa stadionu OSiR Wyspiarz przy ul. Matejki</t>
  </si>
  <si>
    <t>Koszty</t>
  </si>
  <si>
    <t>MUZEUM RYBOŁÓWSTWA MORSKIEGO</t>
  </si>
  <si>
    <t>Przychody własne</t>
  </si>
  <si>
    <t>Stan środków obrotowych netto na początek okresu sprawozdawczego</t>
  </si>
  <si>
    <t>Stan środków obrotowych netto na koniec okresu sprawozdawczego</t>
  </si>
  <si>
    <t>Wydatki
bieżące
(6+7+8+9+10)</t>
  </si>
  <si>
    <t>wg Rekordu</t>
  </si>
  <si>
    <t>tyle wpłynęło dotacji</t>
  </si>
  <si>
    <t>Dotacje celowe w ramach programów finansowanych z udziałem środków europejskich oraz środków, o których mowa w art. 5 ust. 1 pkt 3 oraz ust. 3 pkt 5 i 6 ustawy, lub płatności w ramach budżetu środków europejskich</t>
  </si>
  <si>
    <t>Zakup eksponatów muzealnych</t>
  </si>
  <si>
    <t>4.4</t>
  </si>
  <si>
    <t>wywóz śmieci</t>
  </si>
  <si>
    <t>4.5</t>
  </si>
  <si>
    <t>2.11</t>
  </si>
  <si>
    <t>2.12</t>
  </si>
  <si>
    <t>2.13</t>
  </si>
  <si>
    <t>2.14</t>
  </si>
  <si>
    <t>kontrakty zakładowe lekarzy</t>
  </si>
  <si>
    <t>kontrakty pielęgniarskie</t>
  </si>
  <si>
    <t>wywóz i zagospodarowanie odpadów medycznych</t>
  </si>
  <si>
    <t>najem lokalu (ul. Dąbrowskiego)</t>
  </si>
  <si>
    <t>osobowy fundusz płac</t>
  </si>
  <si>
    <t>2a)</t>
  </si>
  <si>
    <t>3a)</t>
  </si>
  <si>
    <t>§ 962</t>
  </si>
  <si>
    <t>Pożyczki udzielone na finansowanie zadań realizowanych z udziałem środków pochodzących z budżetu Unii Europejskiej</t>
  </si>
  <si>
    <t>Udzielone pożyczki i kredyty</t>
  </si>
  <si>
    <t>§ 991</t>
  </si>
  <si>
    <t>Zespół Szkół Ogólnokształcących</t>
  </si>
  <si>
    <t>Centrum Edukacji Zawodowej i Turystyki</t>
  </si>
  <si>
    <t>gratyfikacje/nagrody jubileuszowe</t>
  </si>
  <si>
    <t>Wydatki inwestycyjne samorządowych zakładów budżetowych</t>
  </si>
  <si>
    <t>PODRÓŻE SŁUŻBOWE KRAJOWE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</si>
  <si>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</si>
  <si>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</si>
  <si>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</si>
  <si>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</si>
  <si>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</si>
  <si>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</si>
  <si>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</si>
  <si>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</si>
  <si>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</si>
  <si>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</si>
  <si>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dzierżawa analizatorów</t>
  </si>
  <si>
    <t>kontrakt - zarządzanie szpitalem</t>
  </si>
  <si>
    <t>4.27</t>
  </si>
  <si>
    <t>4.28</t>
  </si>
  <si>
    <t>4.29</t>
  </si>
  <si>
    <t>13.4</t>
  </si>
  <si>
    <t>13.5</t>
  </si>
  <si>
    <t>pozostałe świadczenia (w tym: szkolenia, ekwiwalenty za odzież, badania okresowe)</t>
  </si>
  <si>
    <t>usługi transportowe</t>
  </si>
  <si>
    <t>usługi remontowe</t>
  </si>
  <si>
    <t>konserwacja i naprawa sprzętu, serwis kotłowni</t>
  </si>
  <si>
    <t>4.6</t>
  </si>
  <si>
    <t>4.7</t>
  </si>
  <si>
    <t>4.8</t>
  </si>
  <si>
    <t>4.9</t>
  </si>
  <si>
    <t>WYNAGRODZENIA</t>
  </si>
  <si>
    <t>5.1</t>
  </si>
  <si>
    <t>5.2</t>
  </si>
  <si>
    <t>NARZUTY NA WYNAGRODZENIA</t>
  </si>
  <si>
    <t>ŚWIADCZENIA NA RZECZ PRACOWNIKÓW</t>
  </si>
  <si>
    <t>PODATKI I OPŁATY</t>
  </si>
  <si>
    <t>8.1</t>
  </si>
  <si>
    <t>podatek od nieruchomości</t>
  </si>
  <si>
    <t>8.2</t>
  </si>
  <si>
    <t>pozostałe opłaty i podatki</t>
  </si>
  <si>
    <t>OPŁATY BANKOWE</t>
  </si>
  <si>
    <t>Odsetki za nieterminowe rozliczenia, płacone przez urzędy obsługujące organy podatkowe</t>
  </si>
  <si>
    <t>Wykup innych papierów wartościowych</t>
  </si>
  <si>
    <t>Dotacje
ogółem</t>
  </si>
  <si>
    <t>Wydatki
majątkowe</t>
  </si>
  <si>
    <t>85220</t>
  </si>
  <si>
    <t>Jednostki specjalistycznego poradnictwa, mieszkania chronione i ośrodki interwencji kryzysowej</t>
  </si>
  <si>
    <t>gmina</t>
  </si>
  <si>
    <t>powiat</t>
  </si>
  <si>
    <t>Ogółem (gmina + powiat)</t>
  </si>
  <si>
    <t xml:space="preserve">Ogółem </t>
  </si>
  <si>
    <t>Uzupełnienie subwencji ogólnej dla jednostek samorządu terytorialnego</t>
  </si>
  <si>
    <t>2750</t>
  </si>
  <si>
    <t>Środki na uzupełnienie dochodów gminy</t>
  </si>
  <si>
    <t>Gimnazjum Fundacji LOGOS</t>
  </si>
  <si>
    <t>Zadania w zakresie pomocy społecznej</t>
  </si>
  <si>
    <t>Zużycie energii</t>
  </si>
  <si>
    <t>Składki na ubezpieczenia społeczne i Fundusz Pracy</t>
  </si>
  <si>
    <t>Pozostałe przychody finansowe i operacyjne</t>
  </si>
  <si>
    <t>RAZEM DOTACJE Z BUDŻETU MIASTA</t>
  </si>
  <si>
    <t>Prowadzenie edukacji profilaktycznej z zakresu AIDS i HIV adresowanych do uczniów placówek oświatowych</t>
  </si>
  <si>
    <t>Niepubliczne Przedszkole Specjalne "Jeżyk"</t>
  </si>
  <si>
    <t>Modernizacja boiska sportowego przy Liceum Ogólnokształcącym z Oddziałami Integracyjnymi</t>
  </si>
  <si>
    <t xml:space="preserve">Publiczna Zasadnicza Szkoła Zawodowa w Świnoujściu Wojewódzkiego Zakładu Doskonalenia Zawodowego w Szczecinie </t>
  </si>
  <si>
    <t>sprawozdanie Rb 27 doch majątkowe</t>
  </si>
  <si>
    <t>zakup i objęcie akcji lub udziałów oraz wniesienie wkładów do spółek prawa handlowego</t>
  </si>
  <si>
    <t>wydatki jednostek budżetowych
w tym:</t>
  </si>
  <si>
    <t>inwestycje i zakupy inwestycyjne
w tym:</t>
  </si>
  <si>
    <t>pozostałe zakupy inwestycyjne</t>
  </si>
  <si>
    <t>inwestycje (bez programów unijnych)</t>
  </si>
  <si>
    <t>różnica:</t>
  </si>
  <si>
    <t>z § 285, 296, 300</t>
  </si>
  <si>
    <t>- dotacje i subwencje (wpłata na rzecz izb rolniczych)</t>
  </si>
  <si>
    <t>- dotacje i subwencje (przelewy redystrybucyjne)</t>
  </si>
  <si>
    <t>- dotacje i subwencje (wpłaty na państwowy fundusz celowy)</t>
  </si>
  <si>
    <t>Obrona narodowa</t>
  </si>
  <si>
    <t>plan z zarz na 30VI</t>
  </si>
  <si>
    <t>§236</t>
  </si>
  <si>
    <t>Punkt Przedszkolny "Motylek"</t>
  </si>
  <si>
    <t>Gimnazjum dla Dorosłych "Żak"</t>
  </si>
  <si>
    <t>Liceum Ogólnokształcące "Hossa" Centrum Edukacji i Wspierania Przedsiębiorczości Szczecińskiej Fundacji "Talent-Promocja-Postęp"</t>
  </si>
  <si>
    <t>Liceum Ogólnokształcące dla Dorosłych "Żak"</t>
  </si>
  <si>
    <t>Prywatne Uzupełniające Liceum Ogólnokształcące dla Dorosłych "Twoja Szkoła"</t>
  </si>
  <si>
    <t>Przelewy redystrybucyjne</t>
  </si>
  <si>
    <t>§296</t>
  </si>
  <si>
    <t>§300</t>
  </si>
  <si>
    <t>§285</t>
  </si>
  <si>
    <t>Uzupełniające Liceum Ogólnokształcące dla Dorosłych "Żak"</t>
  </si>
  <si>
    <t>inne dochody</t>
  </si>
  <si>
    <t>Budowa stałego połączenia pomiędzy wyspami Uznam i Wolin</t>
  </si>
  <si>
    <t xml:space="preserve">                                             </t>
  </si>
  <si>
    <t>§ 212</t>
  </si>
  <si>
    <t>§ 202</t>
  </si>
  <si>
    <t>§ 271</t>
  </si>
  <si>
    <t>§ 200, 620, 626</t>
  </si>
  <si>
    <t>§ 213, 643</t>
  </si>
  <si>
    <t>§ 232</t>
  </si>
  <si>
    <t>§ 211, 641</t>
  </si>
  <si>
    <t>§ 201, 631</t>
  </si>
  <si>
    <t>5. Odsetki</t>
  </si>
  <si>
    <t xml:space="preserve">    - od środków finansowych zgromadzonych na rachunkach  bankowych</t>
  </si>
  <si>
    <t xml:space="preserve">6. Inne dochody </t>
  </si>
  <si>
    <t>Renowacja zabytkowego budynku SP 1 oraz zagospodarowanie przyległego terenu na ogólnodostępne boisko sportowe i plac zabaw</t>
  </si>
  <si>
    <t xml:space="preserve">    - od nieterminowego regulowania należności, stanowiących dochody Miasta i inne</t>
  </si>
  <si>
    <t>Indywidualizacja procesów nauczania i wychowania w klasach I-III w Gminie Miasto Świnoujście</t>
  </si>
  <si>
    <t>85214 
i 85395</t>
  </si>
  <si>
    <t>INWESTYCJE KOMUNALNE FINANSOWANE Z BUDŻETU MIASTA
(bez pozostałych wydatków majątkowych)</t>
  </si>
  <si>
    <t>17.1</t>
  </si>
  <si>
    <t>17.2</t>
  </si>
  <si>
    <t>Organizacja edukacji ekologicznej</t>
  </si>
  <si>
    <t>Samodzielny Publiczny Zakład Opieki Zdrowotnej Zakład Pielęgnacyjno-Opiekuńczy</t>
  </si>
  <si>
    <t xml:space="preserve">  d) wyrównawcza</t>
  </si>
  <si>
    <t xml:space="preserve">      - środki na utrzymanie przepraw promowych</t>
  </si>
  <si>
    <t xml:space="preserve">      - na inwestycje</t>
  </si>
  <si>
    <t>Tabela nr 6</t>
  </si>
  <si>
    <t xml:space="preserve">Tabela nr 13 </t>
  </si>
  <si>
    <t>Tabela nr 17</t>
  </si>
  <si>
    <t>75075</t>
  </si>
  <si>
    <t>DOCHODY I WYDATKI GROMADZONE NA WYDZIELONYCH RACHUNKACH JEDNOSTEK OŚWIATOWYCH</t>
  </si>
  <si>
    <t>Promocja jednostek samorządu terytorialnego</t>
  </si>
  <si>
    <t>2.15</t>
  </si>
  <si>
    <t>0560</t>
  </si>
  <si>
    <t xml:space="preserve">DOTACJE Z BUDŻETU MIASTA </t>
  </si>
  <si>
    <t>6423</t>
  </si>
  <si>
    <t>6299</t>
  </si>
  <si>
    <t>PODRÓŻE SŁUŻBOWE</t>
  </si>
  <si>
    <t>POZOSTAŁE KOSZTY PROSTE (ubezp. O.C.)</t>
  </si>
  <si>
    <t>OGÓŁEM NAKŁADY</t>
  </si>
  <si>
    <t>SPRZEDAŻ USŁUG</t>
  </si>
  <si>
    <t>kontrakt z NFZ</t>
  </si>
  <si>
    <t>opłaty pacjentów pełnopłatne</t>
  </si>
  <si>
    <t>PRZYCHODY FINANSOWE</t>
  </si>
  <si>
    <t>PRZYCHODY OPERACYJNE</t>
  </si>
  <si>
    <t>dotacje - Urząd Miasta</t>
  </si>
  <si>
    <t>PRZYCHODY OGÓŁEM</t>
  </si>
  <si>
    <t>ZYSK/STRATA BRUTTO</t>
  </si>
  <si>
    <t xml:space="preserve"> SAMODZIELNY PUBLICZNY ZAKŁAD OPIEKI ZDROWOTNEJ ZAKŁAD
 PIELĘGNACYJNO-OPIEKUŃCZY</t>
  </si>
  <si>
    <t>RAZEM (GMINA+POWIAT)</t>
  </si>
  <si>
    <t>Szkoła Podstawowa nr 1</t>
  </si>
  <si>
    <t>Szkoła Podstawowa nr 2</t>
  </si>
  <si>
    <t>Szkoła Podstawowa nr 6</t>
  </si>
  <si>
    <t>%
wyk.</t>
  </si>
  <si>
    <t xml:space="preserve">    - produktowa</t>
  </si>
  <si>
    <t>Gimnazjum Publiczne nr 2</t>
  </si>
  <si>
    <t>Gimnazjum Publiczne nr 3</t>
  </si>
  <si>
    <t>Internat Zespołu Szkół Morskich</t>
  </si>
  <si>
    <t>Zespół Szkół Morskich</t>
  </si>
  <si>
    <t>Dochody własne</t>
  </si>
  <si>
    <t>Pozostałe usługi</t>
  </si>
  <si>
    <t>środki czystości i dezynfekcyjne</t>
  </si>
  <si>
    <t>2.7</t>
  </si>
  <si>
    <t>2.8</t>
  </si>
  <si>
    <t>2.9</t>
  </si>
  <si>
    <t>2.10</t>
  </si>
  <si>
    <t>bielizna i odzież ochronna</t>
  </si>
  <si>
    <t>inne zwiększenia</t>
  </si>
  <si>
    <t>Przebudowa chodników i jezdni w drogach gminnych</t>
  </si>
  <si>
    <t>energia cieplna</t>
  </si>
  <si>
    <t>opłaty pocztowe i telekomunikacyjne</t>
  </si>
  <si>
    <t>usługi informatyczne</t>
  </si>
  <si>
    <t>75108</t>
  </si>
  <si>
    <t>Wybory do Sejmu i Senatu</t>
  </si>
  <si>
    <t>2990</t>
  </si>
  <si>
    <t>6680</t>
  </si>
  <si>
    <t>Wpłata środków finansowych z niewykorzystanych w terminie wydatków, które nie wygasają z upływem roku budżetowego</t>
  </si>
  <si>
    <t>85278</t>
  </si>
  <si>
    <t>2008</t>
  </si>
  <si>
    <t>obsługa rozprężalni tlenu</t>
  </si>
  <si>
    <t>wykonanie</t>
  </si>
  <si>
    <t xml:space="preserve">    - zwrot dotacji pobranej w nadmiernej wysokości</t>
  </si>
  <si>
    <t>34.</t>
  </si>
  <si>
    <t>DOTACJE BIEŻĄCE</t>
  </si>
  <si>
    <t>Termin 
realizacji</t>
  </si>
  <si>
    <t>30.</t>
  </si>
  <si>
    <t>31.</t>
  </si>
  <si>
    <t>4.10</t>
  </si>
  <si>
    <t>Inne jednostki</t>
  </si>
  <si>
    <t>§657</t>
  </si>
  <si>
    <t>wg Rb (bieżące bez §291)</t>
  </si>
  <si>
    <t>7.1</t>
  </si>
  <si>
    <t>7.2</t>
  </si>
  <si>
    <t>6298</t>
  </si>
  <si>
    <t xml:space="preserve">Drogi publiczne krajowe </t>
  </si>
  <si>
    <t>Społeczne Liceum Ogólnokształcące Społecznego Towarzystwa Szkoły Gimnazjalnej</t>
  </si>
  <si>
    <t>I Liceum Społeczne Fundacji LOGOS</t>
  </si>
  <si>
    <t>8.3</t>
  </si>
  <si>
    <t>pozostałe podatki i opłaty</t>
  </si>
  <si>
    <t>KOSZTY FINANSOWE</t>
  </si>
  <si>
    <t>ZYSKI NADZWYCZAJNE</t>
  </si>
  <si>
    <t>STRATY NADZWYCZAJNE</t>
  </si>
  <si>
    <t>Dotacje celowe otrzymane z budżetu państwa na inwestycje i zakupy inwestycyjne z zakresu administracji rządowej oraz inne zadania zlecone ustawami realizowane przez powiat</t>
  </si>
  <si>
    <t>Dotacje celowe otrzymane z budżetu państwa na realizację bieżących zadań własnych powiatu</t>
  </si>
  <si>
    <t>KOSZTY OGÓŁEM</t>
  </si>
  <si>
    <t>ZMIANA STANU PRODUKTÓW</t>
  </si>
  <si>
    <t>ZYSK/STRATA NETTO</t>
  </si>
  <si>
    <t>1</t>
  </si>
  <si>
    <t xml:space="preserve">Wydatki majątkowe </t>
  </si>
  <si>
    <t>Otrzymane dotacje</t>
  </si>
  <si>
    <t>Poniesione wydatki</t>
  </si>
  <si>
    <t>Grzywny i inne kary pieniężne od osób prawnych i innych jednostek organizacyjnych</t>
  </si>
  <si>
    <t>0580</t>
  </si>
  <si>
    <t>Grzywny, mandaty i inne kary pieniężne od osób fizycznych</t>
  </si>
  <si>
    <t>35.</t>
  </si>
  <si>
    <t>0390</t>
  </si>
  <si>
    <t>4. Inne dotacje i subwencje bieżące (§2850 - wpłaty na rzecz izb rolniczych, §3000 - wpłaty jednostek na fundusz celowy, §2960-przelewy redystrybucyjne)</t>
  </si>
  <si>
    <t>wg Rb (majątkowe bez §)</t>
  </si>
  <si>
    <t>wg tabeli gmina łącznie</t>
  </si>
  <si>
    <t>wg tabeli powiat łącznie</t>
  </si>
  <si>
    <t>Różnica gmina</t>
  </si>
  <si>
    <t>Różnica powiat</t>
  </si>
  <si>
    <t>zwrot dotacji</t>
  </si>
  <si>
    <t>wg REKORDU powiat łącznie</t>
  </si>
  <si>
    <t>Placówki opiekuńczo-wychowawcze</t>
  </si>
  <si>
    <t>nie może być ujemna!</t>
  </si>
  <si>
    <t>2690</t>
  </si>
  <si>
    <t xml:space="preserve">    - uzdrowiskowa</t>
  </si>
  <si>
    <t>Urzędy naczelnych organów władzy państwowej, kontroli i ochrony prawa oraz sądownictwa</t>
  </si>
  <si>
    <t>Rb 28S</t>
  </si>
  <si>
    <t>Miejska Biblioteka Publiczna</t>
  </si>
  <si>
    <t>Muzeum Rybołówstwa Morskiego</t>
  </si>
  <si>
    <t>Rozchody</t>
  </si>
  <si>
    <t>Źródła dochodów</t>
  </si>
  <si>
    <t>2. Opłaty</t>
  </si>
  <si>
    <t>Pozostałe zadania w zakresie polityki społecznej</t>
  </si>
  <si>
    <t>Dochody od osób prawnych, od osób fizycznych i od innych jednostek nieposiadających osobowości prawnej oraz wydatki związane z ich poborem</t>
  </si>
  <si>
    <t>Wytwarzanie i zaopatrywanie w energię elektryczną, gaz i wodę</t>
  </si>
  <si>
    <t>II. Subwencje</t>
  </si>
  <si>
    <t xml:space="preserve">    - od nieruchomości </t>
  </si>
  <si>
    <t xml:space="preserve">    - rolny</t>
  </si>
  <si>
    <t xml:space="preserve">    - leśny</t>
  </si>
  <si>
    <t xml:space="preserve">    - od środków transportowych</t>
  </si>
  <si>
    <t xml:space="preserve">    - od spadków i darowizn</t>
  </si>
  <si>
    <t xml:space="preserve">    - od czynności cywilnoprawnych</t>
  </si>
  <si>
    <t xml:space="preserve">    - skarbowa</t>
  </si>
  <si>
    <t xml:space="preserve">    - komunikacyjna</t>
  </si>
  <si>
    <t>materiały medyczne wielokrotnego użycia</t>
  </si>
  <si>
    <t>Tabela nr 7</t>
  </si>
  <si>
    <t xml:space="preserve"> DOCHODY  MAJĄTKOWE WEDŁUG DZIAŁÓW, ROZDZIAŁÓW I PARAGRAFÓW KLASYFIKACJI BUDŻETOWEJ</t>
  </si>
  <si>
    <t>DOCHODY MAJĄTKOWE GMINY</t>
  </si>
  <si>
    <t>DOCHODY MAJĄTKOWE POWIATU</t>
  </si>
  <si>
    <t>OGÓŁEM DOCHODY MAJĄTKOWE (GMINA + POWIAT)</t>
  </si>
  <si>
    <t xml:space="preserve">    - eksploatacyjna</t>
  </si>
  <si>
    <t>POWIAT</t>
  </si>
  <si>
    <t xml:space="preserve">    - za zezwolenia na sprzedaż alkoholu</t>
  </si>
  <si>
    <t xml:space="preserve">    - za koncesje i licencje</t>
  </si>
  <si>
    <t xml:space="preserve">    - w podatku dochodowym od osób fizycznych</t>
  </si>
  <si>
    <t xml:space="preserve">    - w podatku dochodowym od osób prawnych</t>
  </si>
  <si>
    <t>Różnica</t>
  </si>
  <si>
    <t xml:space="preserve">    - wpływy z usług</t>
  </si>
  <si>
    <t xml:space="preserve">     RAZEM I+II+III</t>
  </si>
  <si>
    <t xml:space="preserve">    - środki pozyskane z innych źródeł</t>
  </si>
  <si>
    <t xml:space="preserve">  a) oświatowa</t>
  </si>
  <si>
    <t xml:space="preserve">  b) uzupełnienie subwencji</t>
  </si>
  <si>
    <t xml:space="preserve">        - powiat</t>
  </si>
  <si>
    <t xml:space="preserve">        - gmina</t>
  </si>
  <si>
    <t>ZMIANY DOKONANE W PRZYCHODACH I ROZCHODACH</t>
  </si>
  <si>
    <t xml:space="preserve">       - powiat</t>
  </si>
  <si>
    <t xml:space="preserve">       - gmina</t>
  </si>
  <si>
    <t>2701</t>
  </si>
  <si>
    <t>85324</t>
  </si>
  <si>
    <t>Państwowy Fundusz Rehabilitacji Osób Niepełnosprawnych</t>
  </si>
  <si>
    <t>Nr uchwały
 lub zarządzenia</t>
  </si>
  <si>
    <t>75818</t>
  </si>
  <si>
    <t>Rezerwy ogólne i celowe</t>
  </si>
  <si>
    <t>85311</t>
  </si>
  <si>
    <t>Wyszczególnienie jednostek</t>
  </si>
  <si>
    <t>Liceum Ogólnokształcące z Oddziałami Integracyjnymi</t>
  </si>
  <si>
    <t>Rehabilitacja zawodowa i społeczna osób niepełnosprawnych</t>
  </si>
  <si>
    <t>Nr uchwały 
lub zarządzenia</t>
  </si>
  <si>
    <t>75406</t>
  </si>
  <si>
    <t>Straż Graniczna</t>
  </si>
  <si>
    <t>60004</t>
  </si>
  <si>
    <t>Lokalny transport zbiorowy</t>
  </si>
  <si>
    <t>DOCHODY-WYDATKI</t>
  </si>
  <si>
    <t>Środki na dofinansowanie własnych zadań 
bieżących gmin (związków gmin), powiatów (związków powiatów), samorządów województw, pozyskane z innych źródeł
Finansowanie programów ze środków bezzwrotnych pochodzących z Unii Europejskiej</t>
  </si>
  <si>
    <t>/w zł/</t>
  </si>
  <si>
    <t>Rozdział</t>
  </si>
  <si>
    <t>Treść</t>
  </si>
  <si>
    <t>Plan</t>
  </si>
  <si>
    <t>Wykonanie</t>
  </si>
  <si>
    <t>%</t>
  </si>
  <si>
    <t>010</t>
  </si>
  <si>
    <t>Pozostała działalność</t>
  </si>
  <si>
    <t>020</t>
  </si>
  <si>
    <t>02095</t>
  </si>
  <si>
    <t>500</t>
  </si>
  <si>
    <t>30.06.2010 r.</t>
  </si>
  <si>
    <t>Budowa budynków mieszkalnych komunalnych przy ul. Grunwaldzkiej w Świnoujściu</t>
  </si>
  <si>
    <t>RAZEM</t>
  </si>
  <si>
    <t>- zakup i objęcie akcji lub udziałów oraz wniesienie wkładów do spółek prawa handlowego</t>
  </si>
  <si>
    <t>WYDATKI NA PROJEKTY REALIZOWANE Z UDZIAŁEM ŚRODKÓW UNII EUROPEJSKIEJ
(KOSZTY KWALIFIKOWANE)</t>
  </si>
  <si>
    <t>- inwestycje i zakupy inwestycyjne (w tym dotacje)</t>
  </si>
  <si>
    <t>plan wg rb</t>
  </si>
  <si>
    <t>2400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</si>
  <si>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</si>
  <si>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</si>
  <si>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</si>
  <si>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</si>
  <si>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Transgraniczna promenada pomiędzy Świnoujściem i Gminą Heringsdorf</t>
  </si>
  <si>
    <t>Kwota wydatków</t>
  </si>
  <si>
    <t>Piramida Kompetencji</t>
  </si>
  <si>
    <t>pozostałe, w tym: środki pozyskane z innych źródeł i od innych jst oraz funduszy celowych</t>
  </si>
  <si>
    <t>% wykona-
nia</t>
  </si>
  <si>
    <t xml:space="preserve"> rozchody wg sprawozdania Rb</t>
  </si>
  <si>
    <t>- udzielone pożyczki</t>
  </si>
  <si>
    <t>Razem wydatki gminy (bieżące i majątkowe)</t>
  </si>
  <si>
    <t>Razem wydatki powiatu (bieżące i majątkowe)</t>
  </si>
  <si>
    <t>% wyk.</t>
  </si>
  <si>
    <t>Tabela nr 20</t>
  </si>
  <si>
    <t>Koszty finansowe i pozostałe koszty operacyjne</t>
  </si>
  <si>
    <t>płyty CD (materiały do RTG i USG)</t>
  </si>
  <si>
    <t>gazy medyczne</t>
  </si>
  <si>
    <t>materiały do konserwacji i remontów</t>
  </si>
  <si>
    <t>paliwo - olej napędowy</t>
  </si>
  <si>
    <t>materiały laboratoryjne, w tym odczynniki</t>
  </si>
  <si>
    <t>badania laboratoryjne (w tym: immunologiczne, bakteriologiczne, histopatologiczne,cytologiczne, cytopatalogiczne, wykrywanie przeciwciał, próby zgodności, rozmaz szpiku)</t>
  </si>
  <si>
    <t>dzierżawa i transport butli do gazów medycznych</t>
  </si>
  <si>
    <t xml:space="preserve">eksploatacja przyłącza </t>
  </si>
  <si>
    <t>usługi serwisowe (ksero)</t>
  </si>
  <si>
    <t>obsługa prawna</t>
  </si>
  <si>
    <t>kontrakty terapeutów OTU rehabilitacja osób z afazą, psycholog, szkolenia terapeutów</t>
  </si>
  <si>
    <t>kontrakt - zorganizowanie i kierowanie laboratorium</t>
  </si>
  <si>
    <t>4.30</t>
  </si>
  <si>
    <t>poprawiłam</t>
  </si>
  <si>
    <t>- kredyt i pożyczki</t>
  </si>
  <si>
    <t>kontrakt z NFZ - lecznictwo szpitalne + świadczenia UE</t>
  </si>
  <si>
    <t>Dotacja bieżąca z budżetu Miasta</t>
  </si>
  <si>
    <t>kontrakt z NFZ - specjalistyka (poradnie, świadczenia ambulatoryjne)</t>
  </si>
  <si>
    <t>kontrakt z NFZ - opieka psychiatryczna i leczenie uzależnień</t>
  </si>
  <si>
    <t>kontrakt z NFZ - POZ</t>
  </si>
  <si>
    <t>świadczenia medyczne udzielone nieubezpieczonym w NFZ</t>
  </si>
  <si>
    <t>świadczenia ponad limit umowy z NFZ - niezapłacone</t>
  </si>
  <si>
    <t>13.6</t>
  </si>
  <si>
    <t>13.7</t>
  </si>
  <si>
    <t>dotacje z budżetu Miasta</t>
  </si>
  <si>
    <t>pozostałe przychody</t>
  </si>
  <si>
    <t>15.3</t>
  </si>
  <si>
    <t>środki Ministerstwa Zdrowia na finansowanie wynagrodzeń Lekarzy Rezydentów oraz z Urzędu Marszałkowskiego Województwa Zachodniopomorskiego na realizację stażu podyplomowego lekarzy</t>
  </si>
  <si>
    <t>600</t>
  </si>
  <si>
    <t>TRANSPORT I ŁĄCZNOŚĆ</t>
  </si>
  <si>
    <t>60015</t>
  </si>
  <si>
    <t>60016</t>
  </si>
  <si>
    <t>Drogi publiczne gminne</t>
  </si>
  <si>
    <t>630</t>
  </si>
  <si>
    <t>TURYSTYKA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</si>
  <si>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</si>
  <si>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</si>
  <si>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</si>
  <si>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</si>
  <si>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</si>
  <si>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</si>
  <si>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</si>
  <si>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</si>
  <si>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</si>
  <si>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</si>
  <si>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PRZYCHODY I ROZCHODY</t>
  </si>
  <si>
    <t xml:space="preserve">Przychody </t>
  </si>
  <si>
    <t xml:space="preserve">Rozchody </t>
  </si>
  <si>
    <t>Nadzór budowlany</t>
  </si>
  <si>
    <t>71035</t>
  </si>
  <si>
    <t>Cmentarze</t>
  </si>
  <si>
    <t>750</t>
  </si>
  <si>
    <t>ADMINISTRACJA PUBLICZNA</t>
  </si>
  <si>
    <t>75011</t>
  </si>
  <si>
    <t>WYDATKI GMINY</t>
  </si>
  <si>
    <t>GMINA</t>
  </si>
  <si>
    <t>WYDATKI POWIATU</t>
  </si>
  <si>
    <t>Środki na dofinansowanie własnych inwestycji  gmin (związków gmin), powiatów (związków powiatów), samorządów województw, pozyskane z innych źródeł</t>
  </si>
  <si>
    <t>60011</t>
  </si>
  <si>
    <t>Urzędy wojewódzkie</t>
  </si>
  <si>
    <t>75020</t>
  </si>
  <si>
    <t>Starostwa powiatowe</t>
  </si>
  <si>
    <t>75023</t>
  </si>
  <si>
    <t>75045</t>
  </si>
  <si>
    <t>75095</t>
  </si>
  <si>
    <t>URZĘDY NACZELNYCH ORGANÓW WŁADZY PAŃSTWOWEJ, KONTROLI I OCHRONY PRAWA ORAZ SĄDOWNICTWA</t>
  </si>
  <si>
    <t>754</t>
  </si>
  <si>
    <t>75411</t>
  </si>
  <si>
    <t>75414</t>
  </si>
  <si>
    <t>Obrona cywilna</t>
  </si>
  <si>
    <t>757</t>
  </si>
  <si>
    <t>758</t>
  </si>
  <si>
    <t>RÓŻNE ROZLICZENIA</t>
  </si>
  <si>
    <t>801</t>
  </si>
  <si>
    <t>OŚWIATA I WYCHOWANIE</t>
  </si>
  <si>
    <t>80101</t>
  </si>
  <si>
    <t>Szkoły podstawowe</t>
  </si>
  <si>
    <t>80110</t>
  </si>
  <si>
    <t>Gimnazja</t>
  </si>
  <si>
    <t>80120</t>
  </si>
  <si>
    <t>80130</t>
  </si>
  <si>
    <t>Szkoły zawodowe</t>
  </si>
  <si>
    <t>851</t>
  </si>
  <si>
    <t>OCHRONA ZDROWIA</t>
  </si>
  <si>
    <t>85154</t>
  </si>
  <si>
    <t>Przeciwdziałanie alkoholizmowi</t>
  </si>
  <si>
    <t>853</t>
  </si>
  <si>
    <t>85305</t>
  </si>
  <si>
    <t>Drogi publiczne w miastach na prawach powiatu (w rozdziale nie ujmuje się wydatków na drogi gminne)</t>
  </si>
  <si>
    <t>Poradnie psychologiczno-pedagogiczne, w tym poradnie specjalistyczne</t>
  </si>
  <si>
    <t>33.</t>
  </si>
  <si>
    <t>Dodatki mieszkaniowe</t>
  </si>
  <si>
    <t>Ośrodki pomocy społecznej</t>
  </si>
  <si>
    <t>Opłaty na rzecz budżetu państwa</t>
  </si>
  <si>
    <t>85321</t>
  </si>
  <si>
    <t>Usługi opiekuńcze i specjalistyczne usługi opiekuńcze</t>
  </si>
  <si>
    <t>854</t>
  </si>
  <si>
    <t>III. Dotacje celowe</t>
  </si>
  <si>
    <t xml:space="preserve">    - środki Funduszu Pracy</t>
  </si>
  <si>
    <t>EDUKACYJNA OPIEKA WYCHOWAWCZA</t>
  </si>
  <si>
    <t>85403</t>
  </si>
  <si>
    <t>85406</t>
  </si>
  <si>
    <t>OGÓŁEM DOCHODY (GMINA + POWIAT)</t>
  </si>
  <si>
    <t>sprawozdanie Rb 27</t>
  </si>
  <si>
    <t>różnica (Rb 27 - zestawienie)</t>
  </si>
  <si>
    <t>Dochody majątkowe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</si>
</sst>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0.0"/>
    <numFmt numFmtId="170" formatCode="0.0000"/>
    <numFmt numFmtId="171" formatCode="0.000"/>
    <numFmt numFmtId="172" formatCode="#,##0.0\ _z_ł"/>
    <numFmt numFmtId="173" formatCode="0.00000"/>
    <numFmt numFmtId="174" formatCode="#,##0.0"/>
    <numFmt numFmtId="175" formatCode="_-* #,##0\ _z_ł_-;\-* #,##0\ _z_ł_-;_-* &quot;-&quot;??\ _z_ł_-;_-@_-"/>
    <numFmt numFmtId="176" formatCode="#,##0.00_ ;\-#,##0.00\ "/>
    <numFmt numFmtId="177" formatCode="#,##0.00\ &quot;zł&quot;"/>
    <numFmt numFmtId="178" formatCode="#,##0.000"/>
    <numFmt numFmtId="179" formatCode="#,##0.0000"/>
    <numFmt numFmtId="180" formatCode="#,##0.000_ ;\-#,##0.000\ "/>
    <numFmt numFmtId="181" formatCode="#,##0.0_ ;\-#,##0.0\ "/>
    <numFmt numFmtId="182" formatCode="#,##0.0000_ ;\-#,##0.0000\ 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_-* #,##0.0\ _z_ł_-;\-* #,##0.0\ _z_ł_-;_-* &quot;-&quot;??\ _z_ł_-;_-@_-"/>
    <numFmt numFmtId="187" formatCode="_-* #,##0.000\ &quot;zł&quot;_-;\-* #,##0.000\ &quot;zł&quot;_-;_-* &quot;-&quot;??\ &quot;zł&quot;_-;_-@_-"/>
    <numFmt numFmtId="188" formatCode="_-* #,##0.0\ &quot;zł&quot;_-;\-* #,##0.0\ &quot;zł&quot;_-;_-* &quot;-&quot;??\ &quot;zł&quot;_-;_-@_-"/>
    <numFmt numFmtId="189" formatCode="_-* #,##0\ &quot;zł&quot;_-;\-* #,##0\ &quot;zł&quot;_-;_-* &quot;-&quot;??\ &quot;zł&quot;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0\ _z_ł_-;\-* #,##0.000\ _z_ł_-;_-* &quot;-&quot;???\ _z_ł_-;_-@_-"/>
    <numFmt numFmtId="195" formatCode="_-* #,##0.0\ _z_ł_-;\-* #,##0.0\ _z_ł_-;_-* &quot;-&quot;?\ _z_ł_-;_-@_-"/>
    <numFmt numFmtId="196" formatCode="0.000000"/>
    <numFmt numFmtId="197" formatCode="0.00000000"/>
    <numFmt numFmtId="198" formatCode="0.0000000"/>
    <numFmt numFmtId="199" formatCode="0.000000000"/>
    <numFmt numFmtId="200" formatCode="0.0000000000"/>
    <numFmt numFmtId="201" formatCode="0.00000000000"/>
    <numFmt numFmtId="202" formatCode="0.000000000000"/>
    <numFmt numFmtId="203" formatCode="#,##0.00\ _z_ł"/>
    <numFmt numFmtId="204" formatCode="0.0%"/>
    <numFmt numFmtId="205" formatCode="_-* #,##0\ _z_ł_-;\-* #,##0\ _z_ł_-;_-* \-??\ _z_ł_-;_-@_-"/>
    <numFmt numFmtId="206" formatCode="_-* #,##0.00\ _z_ł_-;\-* #,##0.00\ _z_ł_-;_-* \-??\ _z_ł_-;_-@_-"/>
  </numFmts>
  <fonts count="88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i/>
      <sz val="8"/>
      <color indexed="18"/>
      <name val="Times New Roman"/>
      <family val="1"/>
    </font>
    <font>
      <b/>
      <i/>
      <sz val="8"/>
      <color indexed="18"/>
      <name val="Times New Roman"/>
      <family val="1"/>
    </font>
    <font>
      <sz val="10"/>
      <color indexed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b/>
      <i/>
      <sz val="8"/>
      <color indexed="17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9"/>
      <color indexed="17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i/>
      <sz val="10"/>
      <color indexed="36"/>
      <name val="Times New Roman"/>
      <family val="1"/>
    </font>
    <font>
      <b/>
      <i/>
      <sz val="8"/>
      <color indexed="36"/>
      <name val="Times New Roman"/>
      <family val="1"/>
    </font>
    <font>
      <i/>
      <sz val="10"/>
      <color indexed="36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7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center" vertical="center"/>
      <protection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vertical="center" wrapText="1"/>
      <protection/>
    </xf>
    <xf numFmtId="43" fontId="4" fillId="0" borderId="0" xfId="42" applyFont="1" applyAlignment="1">
      <alignment vertical="center" wrapText="1"/>
    </xf>
    <xf numFmtId="0" fontId="4" fillId="33" borderId="0" xfId="56" applyFont="1" applyFill="1" applyAlignment="1">
      <alignment vertical="center"/>
      <protection/>
    </xf>
    <xf numFmtId="4" fontId="4" fillId="33" borderId="0" xfId="56" applyNumberFormat="1" applyFont="1" applyFill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 horizontal="right" vertical="center"/>
    </xf>
    <xf numFmtId="195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/>
    </xf>
    <xf numFmtId="174" fontId="5" fillId="0" borderId="16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169" fontId="7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9" fontId="4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169" fontId="8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9" fontId="5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/>
    </xf>
    <xf numFmtId="169" fontId="11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9" fontId="4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169" fontId="8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9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/>
    </xf>
    <xf numFmtId="169" fontId="11" fillId="0" borderId="1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169" fontId="5" fillId="34" borderId="17" xfId="0" applyNumberFormat="1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49" fontId="9" fillId="34" borderId="18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vertical="center"/>
    </xf>
    <xf numFmtId="169" fontId="11" fillId="34" borderId="17" xfId="0" applyNumberFormat="1" applyFont="1" applyFill="1" applyBorder="1" applyAlignment="1">
      <alignment vertical="center"/>
    </xf>
    <xf numFmtId="49" fontId="5" fillId="34" borderId="19" xfId="0" applyNumberFormat="1" applyFont="1" applyFill="1" applyBorder="1" applyAlignment="1">
      <alignment horizontal="center" vertical="center"/>
    </xf>
    <xf numFmtId="49" fontId="5" fillId="34" borderId="2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4" fillId="33" borderId="0" xfId="0" applyFont="1" applyFill="1" applyAlignment="1">
      <alignment vertical="center"/>
    </xf>
    <xf numFmtId="4" fontId="4" fillId="33" borderId="15" xfId="0" applyNumberFormat="1" applyFont="1" applyFill="1" applyBorder="1" applyAlignment="1">
      <alignment vertical="center"/>
    </xf>
    <xf numFmtId="4" fontId="4" fillId="33" borderId="21" xfId="0" applyNumberFormat="1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33" borderId="22" xfId="0" applyNumberFormat="1" applyFont="1" applyFill="1" applyBorder="1" applyAlignment="1">
      <alignment vertical="center"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left" vertical="center"/>
      <protection/>
    </xf>
    <xf numFmtId="169" fontId="4" fillId="0" borderId="0" xfId="53" applyNumberFormat="1" applyFont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4" fontId="4" fillId="0" borderId="0" xfId="53" applyNumberFormat="1" applyFont="1" applyAlignment="1">
      <alignment vertical="center"/>
      <protection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55" applyFont="1" applyAlignment="1">
      <alignment vertical="center" wrapText="1"/>
      <protection/>
    </xf>
    <xf numFmtId="0" fontId="7" fillId="35" borderId="19" xfId="55" applyFont="1" applyFill="1" applyBorder="1" applyAlignment="1">
      <alignment horizontal="center" vertical="center" wrapText="1"/>
      <protection/>
    </xf>
    <xf numFmtId="0" fontId="7" fillId="35" borderId="20" xfId="55" applyFont="1" applyFill="1" applyBorder="1" applyAlignment="1">
      <alignment vertical="center" wrapText="1"/>
      <protection/>
    </xf>
    <xf numFmtId="43" fontId="7" fillId="35" borderId="20" xfId="42" applyFont="1" applyFill="1" applyBorder="1" applyAlignment="1">
      <alignment vertical="center" wrapText="1"/>
    </xf>
    <xf numFmtId="169" fontId="7" fillId="35" borderId="23" xfId="55" applyNumberFormat="1" applyFont="1" applyFill="1" applyBorder="1" applyAlignment="1">
      <alignment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4" xfId="55" applyFont="1" applyBorder="1" applyAlignment="1">
      <alignment vertical="center" wrapText="1"/>
      <protection/>
    </xf>
    <xf numFmtId="43" fontId="4" fillId="0" borderId="24" xfId="42" applyFont="1" applyBorder="1" applyAlignment="1">
      <alignment vertical="center" wrapText="1"/>
    </xf>
    <xf numFmtId="169" fontId="4" fillId="0" borderId="25" xfId="55" applyNumberFormat="1" applyFont="1" applyBorder="1" applyAlignment="1">
      <alignment vertical="center" wrapText="1"/>
      <protection/>
    </xf>
    <xf numFmtId="43" fontId="7" fillId="35" borderId="21" xfId="42" applyFont="1" applyFill="1" applyBorder="1" applyAlignment="1">
      <alignment vertical="center" wrapText="1"/>
    </xf>
    <xf numFmtId="0" fontId="7" fillId="35" borderId="14" xfId="55" applyFont="1" applyFill="1" applyBorder="1" applyAlignment="1">
      <alignment horizontal="center" vertical="center" wrapText="1"/>
      <protection/>
    </xf>
    <xf numFmtId="0" fontId="7" fillId="35" borderId="15" xfId="55" applyFont="1" applyFill="1" applyBorder="1" applyAlignment="1">
      <alignment vertical="center" wrapText="1"/>
      <protection/>
    </xf>
    <xf numFmtId="43" fontId="7" fillId="35" borderId="15" xfId="42" applyFont="1" applyFill="1" applyBorder="1" applyAlignment="1">
      <alignment vertical="center" wrapText="1"/>
    </xf>
    <xf numFmtId="169" fontId="7" fillId="35" borderId="16" xfId="55" applyNumberFormat="1" applyFont="1" applyFill="1" applyBorder="1" applyAlignment="1">
      <alignment horizontal="right" vertical="center" wrapText="1"/>
      <protection/>
    </xf>
    <xf numFmtId="0" fontId="13" fillId="0" borderId="0" xfId="56" applyFont="1" applyAlignment="1">
      <alignment vertical="center"/>
      <protection/>
    </xf>
    <xf numFmtId="0" fontId="14" fillId="0" borderId="0" xfId="56" applyFont="1" applyAlignment="1">
      <alignment horizontal="right" vertical="center"/>
      <protection/>
    </xf>
    <xf numFmtId="0" fontId="14" fillId="0" borderId="0" xfId="56" applyFont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3" fillId="0" borderId="0" xfId="56" applyFont="1" applyAlignment="1">
      <alignment horizontal="right" vertical="center"/>
      <protection/>
    </xf>
    <xf numFmtId="0" fontId="13" fillId="0" borderId="0" xfId="56" applyFont="1" applyAlignment="1">
      <alignment vertical="center" wrapText="1"/>
      <protection/>
    </xf>
    <xf numFmtId="0" fontId="14" fillId="36" borderId="15" xfId="56" applyFont="1" applyFill="1" applyBorder="1" applyAlignment="1">
      <alignment horizontal="center" vertical="center"/>
      <protection/>
    </xf>
    <xf numFmtId="0" fontId="14" fillId="36" borderId="16" xfId="56" applyFont="1" applyFill="1" applyBorder="1" applyAlignment="1">
      <alignment horizontal="center" vertical="center"/>
      <protection/>
    </xf>
    <xf numFmtId="0" fontId="14" fillId="0" borderId="0" xfId="56" applyFont="1" applyAlignment="1">
      <alignment vertical="center"/>
      <protection/>
    </xf>
    <xf numFmtId="0" fontId="15" fillId="36" borderId="14" xfId="56" applyFont="1" applyFill="1" applyBorder="1" applyAlignment="1">
      <alignment horizontal="center" vertical="center" wrapText="1"/>
      <protection/>
    </xf>
    <xf numFmtId="0" fontId="15" fillId="36" borderId="15" xfId="56" applyFont="1" applyFill="1" applyBorder="1" applyAlignment="1">
      <alignment horizontal="center" vertical="center" wrapText="1"/>
      <protection/>
    </xf>
    <xf numFmtId="0" fontId="15" fillId="36" borderId="15" xfId="56" applyFont="1" applyFill="1" applyBorder="1" applyAlignment="1">
      <alignment horizontal="center" vertical="center"/>
      <protection/>
    </xf>
    <xf numFmtId="0" fontId="15" fillId="36" borderId="16" xfId="56" applyFont="1" applyFill="1" applyBorder="1" applyAlignment="1">
      <alignment horizontal="center" vertical="center"/>
      <protection/>
    </xf>
    <xf numFmtId="0" fontId="15" fillId="0" borderId="0" xfId="56" applyFont="1" applyAlignment="1">
      <alignment vertical="center"/>
      <protection/>
    </xf>
    <xf numFmtId="0" fontId="13" fillId="0" borderId="14" xfId="56" applyFont="1" applyFill="1" applyBorder="1" applyAlignment="1">
      <alignment horizontal="center" vertical="center"/>
      <protection/>
    </xf>
    <xf numFmtId="49" fontId="13" fillId="0" borderId="15" xfId="56" applyNumberFormat="1" applyFont="1" applyFill="1" applyBorder="1" applyAlignment="1">
      <alignment horizontal="center" vertical="center"/>
      <protection/>
    </xf>
    <xf numFmtId="4" fontId="13" fillId="0" borderId="15" xfId="56" applyNumberFormat="1" applyFont="1" applyFill="1" applyBorder="1" applyAlignment="1">
      <alignment vertical="center"/>
      <protection/>
    </xf>
    <xf numFmtId="4" fontId="13" fillId="0" borderId="16" xfId="56" applyNumberFormat="1" applyFont="1" applyFill="1" applyBorder="1" applyAlignment="1">
      <alignment vertical="center"/>
      <protection/>
    </xf>
    <xf numFmtId="0" fontId="13" fillId="33" borderId="0" xfId="56" applyFont="1" applyFill="1" applyAlignment="1">
      <alignment vertical="center"/>
      <protection/>
    </xf>
    <xf numFmtId="4" fontId="13" fillId="33" borderId="0" xfId="56" applyNumberFormat="1" applyFont="1" applyFill="1" applyAlignment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14" fillId="33" borderId="15" xfId="56" applyFont="1" applyFill="1" applyBorder="1" applyAlignment="1">
      <alignment horizontal="center" vertical="center"/>
      <protection/>
    </xf>
    <xf numFmtId="0" fontId="14" fillId="33" borderId="16" xfId="56" applyFont="1" applyFill="1" applyBorder="1" applyAlignment="1">
      <alignment horizontal="center" vertical="center"/>
      <protection/>
    </xf>
    <xf numFmtId="0" fontId="14" fillId="33" borderId="14" xfId="56" applyFont="1" applyFill="1" applyBorder="1" applyAlignment="1">
      <alignment horizontal="center" vertical="center" wrapText="1"/>
      <protection/>
    </xf>
    <xf numFmtId="0" fontId="14" fillId="33" borderId="15" xfId="56" applyFont="1" applyFill="1" applyBorder="1" applyAlignment="1">
      <alignment horizontal="center" vertical="center" wrapText="1"/>
      <protection/>
    </xf>
    <xf numFmtId="0" fontId="13" fillId="0" borderId="26" xfId="56" applyFont="1" applyFill="1" applyBorder="1" applyAlignment="1">
      <alignment horizontal="center" vertical="center"/>
      <protection/>
    </xf>
    <xf numFmtId="4" fontId="14" fillId="35" borderId="15" xfId="56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35" borderId="3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vertical="center"/>
    </xf>
    <xf numFmtId="4" fontId="14" fillId="35" borderId="32" xfId="0" applyNumberFormat="1" applyFont="1" applyFill="1" applyBorder="1" applyAlignment="1">
      <alignment vertical="center"/>
    </xf>
    <xf numFmtId="172" fontId="14" fillId="35" borderId="33" xfId="0" applyNumberFormat="1" applyFont="1" applyFill="1" applyBorder="1" applyAlignment="1">
      <alignment horizontal="right" vertical="center"/>
    </xf>
    <xf numFmtId="195" fontId="14" fillId="35" borderId="34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/>
    </xf>
    <xf numFmtId="4" fontId="14" fillId="35" borderId="32" xfId="0" applyNumberFormat="1" applyFont="1" applyFill="1" applyBorder="1" applyAlignment="1">
      <alignment horizontal="right" vertical="center"/>
    </xf>
    <xf numFmtId="174" fontId="14" fillId="35" borderId="34" xfId="0" applyNumberFormat="1" applyFont="1" applyFill="1" applyBorder="1" applyAlignment="1">
      <alignment horizontal="right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/>
    </xf>
    <xf numFmtId="4" fontId="13" fillId="0" borderId="37" xfId="0" applyNumberFormat="1" applyFont="1" applyBorder="1" applyAlignment="1">
      <alignment horizontal="right" vertical="center"/>
    </xf>
    <xf numFmtId="174" fontId="13" fillId="0" borderId="38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right" vertical="center"/>
    </xf>
    <xf numFmtId="174" fontId="13" fillId="0" borderId="16" xfId="0" applyNumberFormat="1" applyFont="1" applyBorder="1" applyAlignment="1">
      <alignment horizontal="right" vertical="center"/>
    </xf>
    <xf numFmtId="0" fontId="13" fillId="0" borderId="39" xfId="0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4" fontId="13" fillId="0" borderId="22" xfId="0" applyNumberFormat="1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right" vertical="center"/>
    </xf>
    <xf numFmtId="174" fontId="16" fillId="0" borderId="16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/>
    </xf>
    <xf numFmtId="4" fontId="13" fillId="0" borderId="28" xfId="0" applyNumberFormat="1" applyFont="1" applyBorder="1" applyAlignment="1">
      <alignment horizontal="right" vertical="center"/>
    </xf>
    <xf numFmtId="174" fontId="13" fillId="0" borderId="3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169" fontId="13" fillId="0" borderId="0" xfId="0" applyNumberFormat="1" applyFont="1" applyAlignment="1">
      <alignment horizontal="right" vertical="center"/>
    </xf>
    <xf numFmtId="49" fontId="14" fillId="33" borderId="31" xfId="0" applyNumberFormat="1" applyFont="1" applyFill="1" applyBorder="1" applyAlignment="1">
      <alignment horizontal="center" vertical="center"/>
    </xf>
    <xf numFmtId="49" fontId="14" fillId="33" borderId="32" xfId="0" applyNumberFormat="1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169" fontId="14" fillId="33" borderId="34" xfId="0" applyNumberFormat="1" applyFont="1" applyFill="1" applyBorder="1" applyAlignment="1">
      <alignment horizontal="center" vertical="center"/>
    </xf>
    <xf numFmtId="49" fontId="15" fillId="33" borderId="27" xfId="0" applyNumberFormat="1" applyFont="1" applyFill="1" applyBorder="1" applyAlignment="1">
      <alignment horizontal="center" vertical="center"/>
    </xf>
    <xf numFmtId="49" fontId="15" fillId="33" borderId="28" xfId="0" applyNumberFormat="1" applyFont="1" applyFill="1" applyBorder="1" applyAlignment="1">
      <alignment horizontal="center" vertical="center"/>
    </xf>
    <xf numFmtId="1" fontId="15" fillId="33" borderId="3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9" fontId="14" fillId="35" borderId="34" xfId="0" applyNumberFormat="1" applyFont="1" applyFill="1" applyBorder="1" applyAlignment="1">
      <alignment horizontal="right" vertical="center"/>
    </xf>
    <xf numFmtId="0" fontId="14" fillId="35" borderId="0" xfId="0" applyFont="1" applyFill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top"/>
    </xf>
    <xf numFmtId="49" fontId="14" fillId="0" borderId="42" xfId="0" applyNumberFormat="1" applyFont="1" applyFill="1" applyBorder="1" applyAlignment="1">
      <alignment horizontal="center" vertical="top"/>
    </xf>
    <xf numFmtId="49" fontId="14" fillId="0" borderId="42" xfId="0" applyNumberFormat="1" applyFont="1" applyFill="1" applyBorder="1" applyAlignment="1">
      <alignment horizontal="left" vertical="top"/>
    </xf>
    <xf numFmtId="4" fontId="14" fillId="0" borderId="10" xfId="0" applyNumberFormat="1" applyFont="1" applyFill="1" applyBorder="1" applyAlignment="1">
      <alignment horizontal="right" vertical="top"/>
    </xf>
    <xf numFmtId="169" fontId="14" fillId="0" borderId="17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42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/>
    </xf>
    <xf numFmtId="169" fontId="13" fillId="0" borderId="17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top"/>
    </xf>
    <xf numFmtId="49" fontId="16" fillId="0" borderId="42" xfId="0" applyNumberFormat="1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right" vertical="top"/>
    </xf>
    <xf numFmtId="169" fontId="16" fillId="0" borderId="17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vertical="top"/>
    </xf>
    <xf numFmtId="4" fontId="16" fillId="0" borderId="10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vertical="top"/>
    </xf>
    <xf numFmtId="4" fontId="14" fillId="0" borderId="10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/>
    </xf>
    <xf numFmtId="4" fontId="13" fillId="0" borderId="10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4" fontId="13" fillId="0" borderId="20" xfId="0" applyNumberFormat="1" applyFont="1" applyFill="1" applyBorder="1" applyAlignment="1">
      <alignment vertical="top"/>
    </xf>
    <xf numFmtId="4" fontId="16" fillId="0" borderId="20" xfId="0" applyNumberFormat="1" applyFont="1" applyFill="1" applyBorder="1" applyAlignment="1">
      <alignment vertical="top"/>
    </xf>
    <xf numFmtId="169" fontId="13" fillId="0" borderId="23" xfId="0" applyNumberFormat="1" applyFont="1" applyFill="1" applyBorder="1" applyAlignment="1">
      <alignment horizontal="right" vertical="top"/>
    </xf>
    <xf numFmtId="49" fontId="14" fillId="0" borderId="10" xfId="0" applyNumberFormat="1" applyFont="1" applyFill="1" applyBorder="1" applyAlignment="1">
      <alignment vertical="top" wrapText="1"/>
    </xf>
    <xf numFmtId="4" fontId="14" fillId="0" borderId="0" xfId="0" applyNumberFormat="1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169" fontId="14" fillId="0" borderId="23" xfId="0" applyNumberFormat="1" applyFont="1" applyFill="1" applyBorder="1" applyAlignment="1">
      <alignment horizontal="right" vertical="top"/>
    </xf>
    <xf numFmtId="49" fontId="16" fillId="0" borderId="20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vertical="top"/>
    </xf>
    <xf numFmtId="49" fontId="16" fillId="0" borderId="42" xfId="0" applyNumberFormat="1" applyFont="1" applyFill="1" applyBorder="1" applyAlignment="1">
      <alignment vertical="top"/>
    </xf>
    <xf numFmtId="4" fontId="16" fillId="0" borderId="42" xfId="0" applyNumberFormat="1" applyFont="1" applyFill="1" applyBorder="1" applyAlignment="1">
      <alignment vertical="top"/>
    </xf>
    <xf numFmtId="169" fontId="16" fillId="0" borderId="23" xfId="0" applyNumberFormat="1" applyFont="1" applyFill="1" applyBorder="1" applyAlignment="1">
      <alignment horizontal="right" vertical="top"/>
    </xf>
    <xf numFmtId="4" fontId="16" fillId="0" borderId="10" xfId="0" applyNumberFormat="1" applyFont="1" applyFill="1" applyBorder="1" applyAlignment="1">
      <alignment horizontal="center" vertical="top"/>
    </xf>
    <xf numFmtId="49" fontId="16" fillId="0" borderId="42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49" fontId="13" fillId="0" borderId="18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vertical="top"/>
    </xf>
    <xf numFmtId="49" fontId="14" fillId="0" borderId="18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49" fontId="13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3" fillId="0" borderId="42" xfId="0" applyNumberFormat="1" applyFont="1" applyBorder="1" applyAlignment="1">
      <alignment horizontal="center" vertical="top"/>
    </xf>
    <xf numFmtId="49" fontId="13" fillId="0" borderId="42" xfId="0" applyNumberFormat="1" applyFont="1" applyBorder="1" applyAlignment="1">
      <alignment vertical="top"/>
    </xf>
    <xf numFmtId="4" fontId="13" fillId="0" borderId="42" xfId="0" applyNumberFormat="1" applyFont="1" applyBorder="1" applyAlignment="1">
      <alignment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9" fontId="13" fillId="0" borderId="10" xfId="0" applyNumberFormat="1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vertical="top" wrapText="1"/>
    </xf>
    <xf numFmtId="169" fontId="14" fillId="0" borderId="17" xfId="0" applyNumberFormat="1" applyFont="1" applyBorder="1" applyAlignment="1">
      <alignment horizontal="right" vertical="top"/>
    </xf>
    <xf numFmtId="169" fontId="13" fillId="0" borderId="17" xfId="0" applyNumberFormat="1" applyFont="1" applyBorder="1" applyAlignment="1">
      <alignment horizontal="right" vertical="top"/>
    </xf>
    <xf numFmtId="169" fontId="16" fillId="0" borderId="17" xfId="0" applyNumberFormat="1" applyFont="1" applyBorder="1" applyAlignment="1">
      <alignment horizontal="right" vertical="top"/>
    </xf>
    <xf numFmtId="49" fontId="17" fillId="0" borderId="18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9" fontId="16" fillId="0" borderId="42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 wrapText="1"/>
    </xf>
    <xf numFmtId="49" fontId="16" fillId="0" borderId="20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3" fillId="0" borderId="42" xfId="0" applyFont="1" applyBorder="1" applyAlignment="1">
      <alignment horizontal="center" vertical="top"/>
    </xf>
    <xf numFmtId="49" fontId="16" fillId="0" borderId="42" xfId="0" applyNumberFormat="1" applyFont="1" applyBorder="1" applyAlignment="1">
      <alignment vertical="top" wrapText="1"/>
    </xf>
    <xf numFmtId="4" fontId="16" fillId="0" borderId="42" xfId="0" applyNumberFormat="1" applyFont="1" applyBorder="1" applyAlignment="1">
      <alignment vertical="top"/>
    </xf>
    <xf numFmtId="49" fontId="13" fillId="0" borderId="42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/>
    </xf>
    <xf numFmtId="4" fontId="16" fillId="0" borderId="0" xfId="0" applyNumberFormat="1" applyFont="1" applyBorder="1" applyAlignment="1">
      <alignment vertical="top"/>
    </xf>
    <xf numFmtId="49" fontId="13" fillId="0" borderId="20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 wrapText="1"/>
    </xf>
    <xf numFmtId="49" fontId="13" fillId="0" borderId="20" xfId="0" applyNumberFormat="1" applyFont="1" applyFill="1" applyBorder="1" applyAlignment="1">
      <alignment vertical="top" wrapText="1"/>
    </xf>
    <xf numFmtId="4" fontId="13" fillId="0" borderId="20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/>
    </xf>
    <xf numFmtId="49" fontId="13" fillId="0" borderId="20" xfId="0" applyNumberFormat="1" applyFont="1" applyBorder="1" applyAlignment="1">
      <alignment vertical="top"/>
    </xf>
    <xf numFmtId="49" fontId="16" fillId="0" borderId="36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>
      <alignment vertical="top"/>
    </xf>
    <xf numFmtId="4" fontId="16" fillId="0" borderId="22" xfId="0" applyNumberFormat="1" applyFont="1" applyBorder="1" applyAlignment="1">
      <alignment vertical="top"/>
    </xf>
    <xf numFmtId="169" fontId="16" fillId="0" borderId="43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49" fontId="14" fillId="0" borderId="20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42" xfId="0" applyFont="1" applyFill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42" xfId="0" applyNumberFormat="1" applyFont="1" applyFill="1" applyBorder="1" applyAlignment="1">
      <alignment vertical="top" wrapText="1"/>
    </xf>
    <xf numFmtId="4" fontId="13" fillId="0" borderId="42" xfId="0" applyNumberFormat="1" applyFont="1" applyFill="1" applyBorder="1" applyAlignment="1">
      <alignment vertical="top"/>
    </xf>
    <xf numFmtId="49" fontId="16" fillId="0" borderId="20" xfId="0" applyNumberFormat="1" applyFont="1" applyFill="1" applyBorder="1" applyAlignment="1">
      <alignment vertical="top" wrapText="1"/>
    </xf>
    <xf numFmtId="49" fontId="16" fillId="0" borderId="19" xfId="0" applyNumberFormat="1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/>
    </xf>
    <xf numFmtId="49" fontId="16" fillId="0" borderId="40" xfId="0" applyNumberFormat="1" applyFont="1" applyFill="1" applyBorder="1" applyAlignment="1">
      <alignment horizontal="center" vertical="top"/>
    </xf>
    <xf numFmtId="49" fontId="16" fillId="0" borderId="40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vertical="top" wrapText="1"/>
    </xf>
    <xf numFmtId="4" fontId="16" fillId="0" borderId="40" xfId="0" applyNumberFormat="1" applyFont="1" applyFill="1" applyBorder="1" applyAlignment="1">
      <alignment vertical="top"/>
    </xf>
    <xf numFmtId="4" fontId="14" fillId="37" borderId="44" xfId="0" applyNumberFormat="1" applyFont="1" applyFill="1" applyBorder="1" applyAlignment="1">
      <alignment horizontal="center" vertical="center"/>
    </xf>
    <xf numFmtId="169" fontId="14" fillId="37" borderId="45" xfId="0" applyNumberFormat="1" applyFont="1" applyFill="1" applyBorder="1" applyAlignment="1">
      <alignment horizontal="right" vertical="center"/>
    </xf>
    <xf numFmtId="0" fontId="14" fillId="37" borderId="0" xfId="0" applyFont="1" applyFill="1" applyAlignment="1">
      <alignment horizontal="center" vertical="center"/>
    </xf>
    <xf numFmtId="49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vertical="top"/>
    </xf>
    <xf numFmtId="169" fontId="14" fillId="0" borderId="0" xfId="0" applyNumberFormat="1" applyFont="1" applyAlignment="1">
      <alignment horizontal="right" vertical="top"/>
    </xf>
    <xf numFmtId="4" fontId="14" fillId="0" borderId="0" xfId="0" applyNumberFormat="1" applyFont="1" applyBorder="1" applyAlignment="1">
      <alignment horizontal="right" vertical="top"/>
    </xf>
    <xf numFmtId="4" fontId="14" fillId="35" borderId="22" xfId="0" applyNumberFormat="1" applyFont="1" applyFill="1" applyBorder="1" applyAlignment="1">
      <alignment vertical="center"/>
    </xf>
    <xf numFmtId="169" fontId="14" fillId="35" borderId="25" xfId="0" applyNumberFormat="1" applyFont="1" applyFill="1" applyBorder="1" applyAlignment="1">
      <alignment horizontal="right" vertical="center"/>
    </xf>
    <xf numFmtId="0" fontId="14" fillId="35" borderId="0" xfId="0" applyFont="1" applyFill="1" applyAlignment="1">
      <alignment vertical="center"/>
    </xf>
    <xf numFmtId="49" fontId="13" fillId="0" borderId="0" xfId="0" applyNumberFormat="1" applyFont="1" applyBorder="1" applyAlignment="1">
      <alignment vertical="top"/>
    </xf>
    <xf numFmtId="169" fontId="13" fillId="0" borderId="0" xfId="0" applyNumberFormat="1" applyFont="1" applyAlignment="1">
      <alignment horizontal="right" vertical="top"/>
    </xf>
    <xf numFmtId="4" fontId="14" fillId="0" borderId="20" xfId="0" applyNumberFormat="1" applyFont="1" applyBorder="1" applyAlignment="1">
      <alignment vertical="top"/>
    </xf>
    <xf numFmtId="4" fontId="14" fillId="35" borderId="15" xfId="0" applyNumberFormat="1" applyFont="1" applyFill="1" applyBorder="1" applyAlignment="1">
      <alignment vertical="center"/>
    </xf>
    <xf numFmtId="169" fontId="14" fillId="35" borderId="1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4" fontId="13" fillId="0" borderId="0" xfId="0" applyNumberFormat="1" applyFont="1" applyBorder="1" applyAlignment="1">
      <alignment horizontal="right" vertical="top"/>
    </xf>
    <xf numFmtId="49" fontId="16" fillId="0" borderId="0" xfId="0" applyNumberFormat="1" applyFont="1" applyBorder="1" applyAlignment="1">
      <alignment horizontal="center" vertical="top"/>
    </xf>
    <xf numFmtId="49" fontId="13" fillId="0" borderId="20" xfId="0" applyNumberFormat="1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vertical="top" wrapText="1"/>
    </xf>
    <xf numFmtId="49" fontId="16" fillId="0" borderId="24" xfId="0" applyNumberFormat="1" applyFont="1" applyBorder="1" applyAlignment="1">
      <alignment horizontal="center" vertical="top"/>
    </xf>
    <xf numFmtId="49" fontId="16" fillId="0" borderId="24" xfId="0" applyNumberFormat="1" applyFont="1" applyBorder="1" applyAlignment="1">
      <alignment horizontal="center" vertical="top" wrapText="1"/>
    </xf>
    <xf numFmtId="49" fontId="16" fillId="0" borderId="24" xfId="0" applyNumberFormat="1" applyFont="1" applyBorder="1" applyAlignment="1">
      <alignment vertical="top" wrapText="1"/>
    </xf>
    <xf numFmtId="4" fontId="16" fillId="0" borderId="24" xfId="0" applyNumberFormat="1" applyFont="1" applyBorder="1" applyAlignment="1">
      <alignment vertical="top"/>
    </xf>
    <xf numFmtId="169" fontId="16" fillId="0" borderId="25" xfId="0" applyNumberFormat="1" applyFont="1" applyFill="1" applyBorder="1" applyAlignment="1">
      <alignment horizontal="right" vertical="top"/>
    </xf>
    <xf numFmtId="49" fontId="16" fillId="0" borderId="0" xfId="0" applyNumberFormat="1" applyFont="1" applyBorder="1" applyAlignment="1">
      <alignment horizontal="right" vertical="top"/>
    </xf>
    <xf numFmtId="4" fontId="16" fillId="0" borderId="0" xfId="0" applyNumberFormat="1" applyFont="1" applyAlignment="1">
      <alignment vertical="top"/>
    </xf>
    <xf numFmtId="169" fontId="16" fillId="0" borderId="0" xfId="0" applyNumberFormat="1" applyFont="1" applyAlignment="1">
      <alignment horizontal="right" vertical="top"/>
    </xf>
    <xf numFmtId="3" fontId="13" fillId="0" borderId="0" xfId="0" applyNumberFormat="1" applyFont="1" applyBorder="1" applyAlignment="1">
      <alignment vertical="top"/>
    </xf>
    <xf numFmtId="165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4" fillId="33" borderId="2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49" fontId="15" fillId="33" borderId="46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3" fillId="0" borderId="19" xfId="0" applyNumberFormat="1" applyFont="1" applyFill="1" applyBorder="1" applyAlignment="1">
      <alignment vertical="top"/>
    </xf>
    <xf numFmtId="0" fontId="13" fillId="0" borderId="20" xfId="0" applyFont="1" applyFill="1" applyBorder="1" applyAlignment="1">
      <alignment vertical="top"/>
    </xf>
    <xf numFmtId="0" fontId="13" fillId="0" borderId="20" xfId="0" applyFont="1" applyFill="1" applyBorder="1" applyAlignment="1">
      <alignment horizontal="right" vertical="top"/>
    </xf>
    <xf numFmtId="169" fontId="13" fillId="0" borderId="20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vertical="top" wrapText="1"/>
    </xf>
    <xf numFmtId="3" fontId="13" fillId="0" borderId="20" xfId="0" applyNumberFormat="1" applyFont="1" applyFill="1" applyBorder="1" applyAlignment="1">
      <alignment vertical="top" wrapText="1"/>
    </xf>
    <xf numFmtId="49" fontId="13" fillId="0" borderId="46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vertical="top"/>
    </xf>
    <xf numFmtId="169" fontId="13" fillId="0" borderId="40" xfId="0" applyNumberFormat="1" applyFont="1" applyFill="1" applyBorder="1" applyAlignment="1">
      <alignment horizontal="right" vertical="top"/>
    </xf>
    <xf numFmtId="49" fontId="13" fillId="35" borderId="19" xfId="0" applyNumberFormat="1" applyFont="1" applyFill="1" applyBorder="1" applyAlignment="1">
      <alignment horizontal="left" vertical="top"/>
    </xf>
    <xf numFmtId="49" fontId="13" fillId="35" borderId="0" xfId="0" applyNumberFormat="1" applyFont="1" applyFill="1" applyBorder="1" applyAlignment="1">
      <alignment horizontal="left" vertical="top"/>
    </xf>
    <xf numFmtId="4" fontId="13" fillId="35" borderId="20" xfId="0" applyNumberFormat="1" applyFont="1" applyFill="1" applyBorder="1" applyAlignment="1">
      <alignment vertical="top"/>
    </xf>
    <xf numFmtId="169" fontId="13" fillId="35" borderId="20" xfId="0" applyNumberFormat="1" applyFont="1" applyFill="1" applyBorder="1" applyAlignment="1">
      <alignment horizontal="right" vertical="top"/>
    </xf>
    <xf numFmtId="0" fontId="14" fillId="35" borderId="46" xfId="0" applyFont="1" applyFill="1" applyBorder="1" applyAlignment="1">
      <alignment horizontal="right" vertical="top"/>
    </xf>
    <xf numFmtId="0" fontId="14" fillId="35" borderId="47" xfId="0" applyFont="1" applyFill="1" applyBorder="1" applyAlignment="1">
      <alignment horizontal="left" vertical="top"/>
    </xf>
    <xf numFmtId="4" fontId="14" fillId="35" borderId="12" xfId="0" applyNumberFormat="1" applyFont="1" applyFill="1" applyBorder="1" applyAlignment="1">
      <alignment vertical="top"/>
    </xf>
    <xf numFmtId="169" fontId="14" fillId="35" borderId="12" xfId="0" applyNumberFormat="1" applyFont="1" applyFill="1" applyBorder="1" applyAlignment="1">
      <alignment horizontal="right" vertical="top"/>
    </xf>
    <xf numFmtId="0" fontId="16" fillId="0" borderId="19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" fontId="16" fillId="0" borderId="20" xfId="0" applyNumberFormat="1" applyFont="1" applyFill="1" applyBorder="1" applyAlignment="1">
      <alignment vertical="center"/>
    </xf>
    <xf numFmtId="169" fontId="16" fillId="0" borderId="2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Alignment="1">
      <alignment horizontal="center"/>
    </xf>
    <xf numFmtId="169" fontId="13" fillId="0" borderId="0" xfId="0" applyNumberFormat="1" applyFont="1" applyFill="1" applyAlignment="1">
      <alignment horizontal="right"/>
    </xf>
    <xf numFmtId="49" fontId="13" fillId="0" borderId="0" xfId="0" applyNumberFormat="1" applyFont="1" applyAlignment="1">
      <alignment horizontal="right" vertical="center"/>
    </xf>
    <xf numFmtId="4" fontId="13" fillId="0" borderId="48" xfId="0" applyNumberFormat="1" applyFont="1" applyBorder="1" applyAlignment="1">
      <alignment vertical="center"/>
    </xf>
    <xf numFmtId="4" fontId="13" fillId="38" borderId="49" xfId="0" applyNumberFormat="1" applyFont="1" applyFill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wrapText="1"/>
    </xf>
    <xf numFmtId="195" fontId="13" fillId="0" borderId="23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195" fontId="19" fillId="0" borderId="23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172" fontId="19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33" borderId="31" xfId="0" applyFont="1" applyFill="1" applyBorder="1" applyAlignment="1" applyProtection="1">
      <alignment horizontal="center" vertical="center"/>
      <protection hidden="1"/>
    </xf>
    <xf numFmtId="0" fontId="14" fillId="33" borderId="33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 wrapText="1"/>
      <protection hidden="1"/>
    </xf>
    <xf numFmtId="0" fontId="14" fillId="33" borderId="34" xfId="0" applyFont="1" applyFill="1" applyBorder="1" applyAlignment="1" applyProtection="1">
      <alignment horizontal="center" vertical="center" wrapText="1"/>
      <protection hidden="1"/>
    </xf>
    <xf numFmtId="0" fontId="13" fillId="33" borderId="27" xfId="0" applyFont="1" applyFill="1" applyBorder="1" applyAlignment="1" applyProtection="1">
      <alignment horizontal="center"/>
      <protection hidden="1"/>
    </xf>
    <xf numFmtId="0" fontId="13" fillId="33" borderId="50" xfId="0" applyFont="1" applyFill="1" applyBorder="1" applyAlignment="1" applyProtection="1">
      <alignment horizontal="center"/>
      <protection hidden="1"/>
    </xf>
    <xf numFmtId="0" fontId="13" fillId="33" borderId="29" xfId="0" applyFont="1" applyFill="1" applyBorder="1" applyAlignment="1" applyProtection="1">
      <alignment horizontal="center"/>
      <protection hidden="1"/>
    </xf>
    <xf numFmtId="0" fontId="13" fillId="33" borderId="12" xfId="0" applyFont="1" applyFill="1" applyBorder="1" applyAlignment="1" applyProtection="1">
      <alignment horizontal="center"/>
      <protection hidden="1"/>
    </xf>
    <xf numFmtId="0" fontId="13" fillId="33" borderId="30" xfId="0" applyFont="1" applyFill="1" applyBorder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49" fontId="16" fillId="0" borderId="18" xfId="0" applyNumberFormat="1" applyFont="1" applyFill="1" applyBorder="1" applyAlignment="1" applyProtection="1">
      <alignment wrapText="1"/>
      <protection hidden="1"/>
    </xf>
    <xf numFmtId="4" fontId="16" fillId="0" borderId="10" xfId="0" applyNumberFormat="1" applyFont="1" applyFill="1" applyBorder="1" applyAlignment="1" applyProtection="1">
      <alignment/>
      <protection hidden="1"/>
    </xf>
    <xf numFmtId="4" fontId="16" fillId="0" borderId="20" xfId="0" applyNumberFormat="1" applyFont="1" applyFill="1" applyBorder="1" applyAlignment="1" applyProtection="1">
      <alignment/>
      <protection hidden="1"/>
    </xf>
    <xf numFmtId="169" fontId="16" fillId="0" borderId="23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49" fontId="16" fillId="0" borderId="18" xfId="0" applyNumberFormat="1" applyFont="1" applyBorder="1" applyAlignment="1" applyProtection="1">
      <alignment wrapText="1"/>
      <protection hidden="1"/>
    </xf>
    <xf numFmtId="4" fontId="16" fillId="0" borderId="10" xfId="0" applyNumberFormat="1" applyFont="1" applyBorder="1" applyAlignment="1" applyProtection="1">
      <alignment wrapText="1"/>
      <protection hidden="1"/>
    </xf>
    <xf numFmtId="4" fontId="16" fillId="0" borderId="20" xfId="0" applyNumberFormat="1" applyFont="1" applyBorder="1" applyAlignment="1" applyProtection="1">
      <alignment/>
      <protection hidden="1"/>
    </xf>
    <xf numFmtId="169" fontId="16" fillId="0" borderId="23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4" fontId="13" fillId="0" borderId="10" xfId="0" applyNumberFormat="1" applyFont="1" applyBorder="1" applyAlignment="1" applyProtection="1">
      <alignment/>
      <protection hidden="1"/>
    </xf>
    <xf numFmtId="4" fontId="13" fillId="0" borderId="20" xfId="0" applyNumberFormat="1" applyFont="1" applyBorder="1" applyAlignment="1" applyProtection="1">
      <alignment/>
      <protection hidden="1"/>
    </xf>
    <xf numFmtId="169" fontId="13" fillId="0" borderId="23" xfId="0" applyNumberFormat="1" applyFont="1" applyBorder="1" applyAlignment="1" applyProtection="1">
      <alignment/>
      <protection hidden="1"/>
    </xf>
    <xf numFmtId="49" fontId="16" fillId="0" borderId="18" xfId="0" applyNumberFormat="1" applyFont="1" applyBorder="1" applyAlignment="1" applyProtection="1">
      <alignment/>
      <protection hidden="1"/>
    </xf>
    <xf numFmtId="4" fontId="16" fillId="0" borderId="10" xfId="0" applyNumberFormat="1" applyFont="1" applyBorder="1" applyAlignment="1" applyProtection="1">
      <alignment/>
      <protection hidden="1"/>
    </xf>
    <xf numFmtId="49" fontId="13" fillId="0" borderId="18" xfId="0" applyNumberFormat="1" applyFont="1" applyBorder="1" applyAlignment="1" applyProtection="1">
      <alignment/>
      <protection hidden="1"/>
    </xf>
    <xf numFmtId="49" fontId="13" fillId="0" borderId="18" xfId="0" applyNumberFormat="1" applyFont="1" applyBorder="1" applyAlignment="1" applyProtection="1">
      <alignment horizontal="center"/>
      <protection hidden="1"/>
    </xf>
    <xf numFmtId="4" fontId="13" fillId="0" borderId="0" xfId="0" applyNumberFormat="1" applyFont="1" applyBorder="1" applyAlignment="1" applyProtection="1">
      <alignment horizontal="center"/>
      <protection hidden="1"/>
    </xf>
    <xf numFmtId="4" fontId="13" fillId="0" borderId="20" xfId="0" applyNumberFormat="1" applyFont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49" fontId="14" fillId="0" borderId="18" xfId="0" applyNumberFormat="1" applyFont="1" applyBorder="1" applyAlignment="1" applyProtection="1">
      <alignment/>
      <protection hidden="1"/>
    </xf>
    <xf numFmtId="4" fontId="14" fillId="0" borderId="10" xfId="0" applyNumberFormat="1" applyFont="1" applyBorder="1" applyAlignment="1" applyProtection="1">
      <alignment/>
      <protection hidden="1"/>
    </xf>
    <xf numFmtId="4" fontId="14" fillId="0" borderId="20" xfId="0" applyNumberFormat="1" applyFont="1" applyBorder="1" applyAlignment="1" applyProtection="1">
      <alignment/>
      <protection hidden="1"/>
    </xf>
    <xf numFmtId="169" fontId="14" fillId="0" borderId="23" xfId="0" applyNumberFormat="1" applyFont="1" applyBorder="1" applyAlignment="1" applyProtection="1">
      <alignment/>
      <protection hidden="1"/>
    </xf>
    <xf numFmtId="4" fontId="13" fillId="0" borderId="0" xfId="0" applyNumberFormat="1" applyFont="1" applyAlignment="1" applyProtection="1">
      <alignment/>
      <protection hidden="1"/>
    </xf>
    <xf numFmtId="4" fontId="16" fillId="0" borderId="20" xfId="0" applyNumberFormat="1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49" fontId="13" fillId="0" borderId="18" xfId="0" applyNumberFormat="1" applyFont="1" applyBorder="1" applyAlignment="1" applyProtection="1">
      <alignment wrapText="1"/>
      <protection hidden="1"/>
    </xf>
    <xf numFmtId="0" fontId="16" fillId="0" borderId="0" xfId="0" applyFont="1" applyAlignment="1" applyProtection="1">
      <alignment/>
      <protection hidden="1"/>
    </xf>
    <xf numFmtId="4" fontId="13" fillId="0" borderId="10" xfId="0" applyNumberFormat="1" applyFont="1" applyBorder="1" applyAlignment="1" applyProtection="1">
      <alignment wrapText="1"/>
      <protection hidden="1"/>
    </xf>
    <xf numFmtId="4" fontId="16" fillId="0" borderId="10" xfId="0" applyNumberFormat="1" applyFont="1" applyFill="1" applyBorder="1" applyAlignment="1" applyProtection="1">
      <alignment wrapText="1"/>
      <protection hidden="1"/>
    </xf>
    <xf numFmtId="49" fontId="16" fillId="0" borderId="18" xfId="0" applyNumberFormat="1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4" fontId="13" fillId="0" borderId="20" xfId="0" applyNumberFormat="1" applyFont="1" applyBorder="1" applyAlignment="1" applyProtection="1">
      <alignment/>
      <protection hidden="1"/>
    </xf>
    <xf numFmtId="169" fontId="13" fillId="0" borderId="23" xfId="0" applyNumberFormat="1" applyFont="1" applyBorder="1" applyAlignment="1" applyProtection="1">
      <alignment/>
      <protection hidden="1"/>
    </xf>
    <xf numFmtId="4" fontId="16" fillId="0" borderId="20" xfId="0" applyNumberFormat="1" applyFont="1" applyFill="1" applyBorder="1" applyAlignment="1" applyProtection="1">
      <alignment horizontal="right"/>
      <protection hidden="1"/>
    </xf>
    <xf numFmtId="49" fontId="14" fillId="0" borderId="19" xfId="0" applyNumberFormat="1" applyFont="1" applyBorder="1" applyAlignment="1" applyProtection="1">
      <alignment/>
      <protection hidden="1"/>
    </xf>
    <xf numFmtId="49" fontId="14" fillId="0" borderId="19" xfId="0" applyNumberFormat="1" applyFont="1" applyBorder="1" applyAlignment="1" applyProtection="1">
      <alignment wrapText="1"/>
      <protection hidden="1"/>
    </xf>
    <xf numFmtId="4" fontId="14" fillId="0" borderId="10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49" fontId="16" fillId="0" borderId="19" xfId="0" applyNumberFormat="1" applyFont="1" applyBorder="1" applyAlignment="1" applyProtection="1">
      <alignment/>
      <protection hidden="1"/>
    </xf>
    <xf numFmtId="4" fontId="16" fillId="0" borderId="10" xfId="0" applyNumberFormat="1" applyFont="1" applyBorder="1" applyAlignment="1" applyProtection="1">
      <alignment/>
      <protection hidden="1"/>
    </xf>
    <xf numFmtId="49" fontId="13" fillId="0" borderId="19" xfId="0" applyNumberFormat="1" applyFont="1" applyBorder="1" applyAlignment="1" applyProtection="1">
      <alignment wrapText="1"/>
      <protection hidden="1"/>
    </xf>
    <xf numFmtId="49" fontId="16" fillId="0" borderId="19" xfId="0" applyNumberFormat="1" applyFont="1" applyBorder="1" applyAlignment="1" applyProtection="1">
      <alignment/>
      <protection hidden="1"/>
    </xf>
    <xf numFmtId="4" fontId="13" fillId="0" borderId="10" xfId="0" applyNumberFormat="1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49" fontId="13" fillId="0" borderId="19" xfId="0" applyNumberFormat="1" applyFont="1" applyBorder="1" applyAlignment="1" applyProtection="1">
      <alignment/>
      <protection hidden="1"/>
    </xf>
    <xf numFmtId="49" fontId="13" fillId="0" borderId="19" xfId="0" applyNumberFormat="1" applyFont="1" applyBorder="1" applyAlignment="1" applyProtection="1">
      <alignment/>
      <protection hidden="1"/>
    </xf>
    <xf numFmtId="4" fontId="13" fillId="0" borderId="10" xfId="0" applyNumberFormat="1" applyFont="1" applyBorder="1" applyAlignment="1" applyProtection="1" quotePrefix="1">
      <alignment/>
      <protection hidden="1"/>
    </xf>
    <xf numFmtId="49" fontId="14" fillId="35" borderId="51" xfId="0" applyNumberFormat="1" applyFont="1" applyFill="1" applyBorder="1" applyAlignment="1" applyProtection="1">
      <alignment vertical="center"/>
      <protection hidden="1"/>
    </xf>
    <xf numFmtId="4" fontId="14" fillId="35" borderId="52" xfId="0" applyNumberFormat="1" applyFont="1" applyFill="1" applyBorder="1" applyAlignment="1" applyProtection="1">
      <alignment vertical="center"/>
      <protection hidden="1"/>
    </xf>
    <xf numFmtId="4" fontId="14" fillId="35" borderId="12" xfId="0" applyNumberFormat="1" applyFont="1" applyFill="1" applyBorder="1" applyAlignment="1" applyProtection="1">
      <alignment vertical="center"/>
      <protection hidden="1"/>
    </xf>
    <xf numFmtId="169" fontId="14" fillId="35" borderId="45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/>
      <protection hidden="1"/>
    </xf>
    <xf numFmtId="4" fontId="14" fillId="0" borderId="0" xfId="0" applyNumberFormat="1" applyFont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3" fontId="14" fillId="0" borderId="0" xfId="0" applyNumberFormat="1" applyFont="1" applyBorder="1" applyAlignment="1" applyProtection="1">
      <alignment/>
      <protection hidden="1"/>
    </xf>
    <xf numFmtId="0" fontId="22" fillId="0" borderId="0" xfId="0" applyFont="1" applyAlignment="1">
      <alignment/>
    </xf>
    <xf numFmtId="49" fontId="23" fillId="0" borderId="19" xfId="0" applyNumberFormat="1" applyFont="1" applyBorder="1" applyAlignment="1" applyProtection="1">
      <alignment/>
      <protection hidden="1"/>
    </xf>
    <xf numFmtId="4" fontId="23" fillId="0" borderId="10" xfId="0" applyNumberFormat="1" applyFont="1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4" fontId="14" fillId="0" borderId="12" xfId="0" applyNumberFormat="1" applyFont="1" applyBorder="1" applyAlignment="1" applyProtection="1">
      <alignment/>
      <protection hidden="1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33" borderId="53" xfId="0" applyNumberFormat="1" applyFont="1" applyFill="1" applyBorder="1" applyAlignment="1">
      <alignment horizontal="center" vertical="center"/>
    </xf>
    <xf numFmtId="49" fontId="25" fillId="33" borderId="54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/>
    </xf>
    <xf numFmtId="169" fontId="14" fillId="35" borderId="25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/>
    </xf>
    <xf numFmtId="169" fontId="14" fillId="0" borderId="17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/>
    </xf>
    <xf numFmtId="169" fontId="13" fillId="0" borderId="17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/>
    </xf>
    <xf numFmtId="169" fontId="16" fillId="0" borderId="17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/>
    </xf>
    <xf numFmtId="169" fontId="21" fillId="0" borderId="17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/>
    </xf>
    <xf numFmtId="169" fontId="35" fillId="0" borderId="17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169" fontId="36" fillId="0" borderId="17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169" fontId="38" fillId="0" borderId="17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39" fillId="0" borderId="10" xfId="0" applyNumberFormat="1" applyFont="1" applyFill="1" applyBorder="1" applyAlignment="1">
      <alignment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9" fontId="36" fillId="0" borderId="19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169" fontId="36" fillId="0" borderId="17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169" fontId="40" fillId="0" borderId="17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49" fontId="35" fillId="0" borderId="18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/>
    </xf>
    <xf numFmtId="169" fontId="35" fillId="0" borderId="17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36" fillId="0" borderId="18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169" fontId="38" fillId="0" borderId="17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40" fillId="0" borderId="10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169" fontId="40" fillId="0" borderId="17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169" fontId="26" fillId="0" borderId="17" xfId="0" applyNumberFormat="1" applyFont="1" applyFill="1" applyBorder="1" applyAlignment="1">
      <alignment vertical="center"/>
    </xf>
    <xf numFmtId="49" fontId="14" fillId="35" borderId="39" xfId="0" applyNumberFormat="1" applyFont="1" applyFill="1" applyBorder="1" applyAlignment="1">
      <alignment horizontal="center" vertical="center"/>
    </xf>
    <xf numFmtId="49" fontId="14" fillId="35" borderId="48" xfId="0" applyNumberFormat="1" applyFont="1" applyFill="1" applyBorder="1" applyAlignment="1">
      <alignment horizontal="center" vertical="center"/>
    </xf>
    <xf numFmtId="169" fontId="14" fillId="35" borderId="16" xfId="0" applyNumberFormat="1" applyFont="1" applyFill="1" applyBorder="1" applyAlignme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vertical="center"/>
    </xf>
    <xf numFmtId="169" fontId="21" fillId="0" borderId="17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vertical="center"/>
    </xf>
    <xf numFmtId="169" fontId="16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169" fontId="14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169" fontId="13" fillId="0" borderId="17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 wrapText="1"/>
    </xf>
    <xf numFmtId="169" fontId="19" fillId="0" borderId="17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vertical="center" wrapText="1"/>
    </xf>
    <xf numFmtId="4" fontId="35" fillId="0" borderId="10" xfId="0" applyNumberFormat="1" applyFont="1" applyBorder="1" applyAlignment="1">
      <alignment vertical="center"/>
    </xf>
    <xf numFmtId="169" fontId="35" fillId="0" borderId="17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169" fontId="36" fillId="0" borderId="17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40" fillId="0" borderId="19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169" fontId="40" fillId="0" borderId="17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37" fillId="0" borderId="18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vertical="center"/>
    </xf>
    <xf numFmtId="169" fontId="38" fillId="0" borderId="17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4" fontId="13" fillId="0" borderId="42" xfId="0" applyNumberFormat="1" applyFont="1" applyBorder="1" applyAlignment="1">
      <alignment vertical="center"/>
    </xf>
    <xf numFmtId="49" fontId="17" fillId="0" borderId="36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vertical="center" wrapText="1"/>
    </xf>
    <xf numFmtId="4" fontId="21" fillId="0" borderId="22" xfId="0" applyNumberFormat="1" applyFont="1" applyBorder="1" applyAlignment="1">
      <alignment vertical="center"/>
    </xf>
    <xf numFmtId="169" fontId="21" fillId="0" borderId="43" xfId="0" applyNumberFormat="1" applyFont="1" applyBorder="1" applyAlignment="1">
      <alignment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169" fontId="43" fillId="0" borderId="17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169" fontId="43" fillId="0" borderId="17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49" fontId="43" fillId="0" borderId="10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/>
    </xf>
    <xf numFmtId="169" fontId="46" fillId="0" borderId="17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49" fontId="47" fillId="0" borderId="18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4" fillId="35" borderId="56" xfId="0" applyNumberFormat="1" applyFont="1" applyFill="1" applyBorder="1" applyAlignment="1">
      <alignment vertical="center" wrapText="1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vertical="center" wrapText="1"/>
    </xf>
    <xf numFmtId="4" fontId="16" fillId="0" borderId="22" xfId="0" applyNumberFormat="1" applyFont="1" applyFill="1" applyBorder="1" applyAlignment="1">
      <alignment vertical="center"/>
    </xf>
    <xf numFmtId="169" fontId="16" fillId="0" borderId="43" xfId="0" applyNumberFormat="1" applyFont="1" applyFill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/>
    </xf>
    <xf numFmtId="169" fontId="5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vertical="center" wrapText="1"/>
    </xf>
    <xf numFmtId="4" fontId="19" fillId="34" borderId="10" xfId="0" applyNumberFormat="1" applyFont="1" applyFill="1" applyBorder="1" applyAlignment="1">
      <alignment vertical="center"/>
    </xf>
    <xf numFmtId="169" fontId="19" fillId="34" borderId="17" xfId="0" applyNumberFormat="1" applyFont="1" applyFill="1" applyBorder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vertical="center"/>
    </xf>
    <xf numFmtId="49" fontId="14" fillId="34" borderId="19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vertical="center" wrapText="1"/>
    </xf>
    <xf numFmtId="4" fontId="14" fillId="34" borderId="10" xfId="0" applyNumberFormat="1" applyFont="1" applyFill="1" applyBorder="1" applyAlignment="1">
      <alignment vertical="center"/>
    </xf>
    <xf numFmtId="169" fontId="14" fillId="34" borderId="17" xfId="0" applyNumberFormat="1" applyFont="1" applyFill="1" applyBorder="1" applyAlignment="1">
      <alignment vertical="center"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vertical="center"/>
    </xf>
    <xf numFmtId="49" fontId="17" fillId="34" borderId="18" xfId="0" applyNumberFormat="1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vertical="center" wrapText="1"/>
    </xf>
    <xf numFmtId="4" fontId="21" fillId="34" borderId="10" xfId="0" applyNumberFormat="1" applyFont="1" applyFill="1" applyBorder="1" applyAlignment="1">
      <alignment vertical="center"/>
    </xf>
    <xf numFmtId="169" fontId="21" fillId="34" borderId="17" xfId="0" applyNumberFormat="1" applyFont="1" applyFill="1" applyBorder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vertical="center"/>
    </xf>
    <xf numFmtId="49" fontId="13" fillId="34" borderId="19" xfId="0" applyNumberFormat="1" applyFont="1" applyFill="1" applyBorder="1" applyAlignment="1">
      <alignment horizontal="center" vertical="center"/>
    </xf>
    <xf numFmtId="49" fontId="13" fillId="34" borderId="2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left" vertical="center" wrapText="1"/>
    </xf>
    <xf numFmtId="4" fontId="16" fillId="34" borderId="10" xfId="0" applyNumberFormat="1" applyFont="1" applyFill="1" applyBorder="1" applyAlignment="1">
      <alignment vertical="center"/>
    </xf>
    <xf numFmtId="169" fontId="16" fillId="34" borderId="17" xfId="0" applyNumberFormat="1" applyFont="1" applyFill="1" applyBorder="1" applyAlignment="1">
      <alignment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49" fontId="16" fillId="34" borderId="19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vertical="center" wrapText="1"/>
    </xf>
    <xf numFmtId="49" fontId="16" fillId="34" borderId="18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13" fillId="34" borderId="46" xfId="0" applyNumberFormat="1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 vertical="center"/>
    </xf>
    <xf numFmtId="49" fontId="16" fillId="34" borderId="40" xfId="0" applyNumberFormat="1" applyFont="1" applyFill="1" applyBorder="1" applyAlignment="1">
      <alignment vertical="center" wrapText="1"/>
    </xf>
    <xf numFmtId="4" fontId="16" fillId="34" borderId="40" xfId="0" applyNumberFormat="1" applyFont="1" applyFill="1" applyBorder="1" applyAlignment="1">
      <alignment vertical="center"/>
    </xf>
    <xf numFmtId="169" fontId="16" fillId="34" borderId="57" xfId="0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49" fontId="14" fillId="37" borderId="39" xfId="0" applyNumberFormat="1" applyFont="1" applyFill="1" applyBorder="1" applyAlignment="1">
      <alignment horizontal="center" vertical="center"/>
    </xf>
    <xf numFmtId="49" fontId="14" fillId="37" borderId="48" xfId="0" applyNumberFormat="1" applyFont="1" applyFill="1" applyBorder="1" applyAlignment="1">
      <alignment horizontal="center" vertical="center"/>
    </xf>
    <xf numFmtId="49" fontId="14" fillId="37" borderId="56" xfId="0" applyNumberFormat="1" applyFont="1" applyFill="1" applyBorder="1" applyAlignment="1">
      <alignment vertical="center" wrapText="1"/>
    </xf>
    <xf numFmtId="4" fontId="14" fillId="37" borderId="22" xfId="0" applyNumberFormat="1" applyFont="1" applyFill="1" applyBorder="1" applyAlignment="1">
      <alignment vertical="center"/>
    </xf>
    <xf numFmtId="169" fontId="14" fillId="37" borderId="43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169" fontId="17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174" fontId="13" fillId="0" borderId="16" xfId="0" applyNumberFormat="1" applyFont="1" applyBorder="1" applyAlignment="1">
      <alignment vertical="center"/>
    </xf>
    <xf numFmtId="0" fontId="13" fillId="0" borderId="47" xfId="0" applyFont="1" applyBorder="1" applyAlignment="1">
      <alignment horizontal="right"/>
    </xf>
    <xf numFmtId="0" fontId="14" fillId="33" borderId="41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14" fillId="0" borderId="15" xfId="0" applyNumberFormat="1" applyFont="1" applyBorder="1" applyAlignment="1">
      <alignment vertical="center"/>
    </xf>
    <xf numFmtId="174" fontId="14" fillId="0" borderId="16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4" fontId="13" fillId="0" borderId="21" xfId="0" applyNumberFormat="1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4" fontId="13" fillId="0" borderId="21" xfId="0" applyNumberFormat="1" applyFont="1" applyBorder="1" applyAlignment="1">
      <alignment vertical="center"/>
    </xf>
    <xf numFmtId="4" fontId="13" fillId="0" borderId="22" xfId="0" applyNumberFormat="1" applyFont="1" applyBorder="1" applyAlignment="1">
      <alignment vertical="center"/>
    </xf>
    <xf numFmtId="4" fontId="13" fillId="0" borderId="24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174" fontId="13" fillId="0" borderId="25" xfId="0" applyNumberFormat="1" applyFont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4" fontId="13" fillId="0" borderId="22" xfId="0" applyNumberFormat="1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174" fontId="14" fillId="0" borderId="25" xfId="0" applyNumberFormat="1" applyFont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wrapText="1"/>
    </xf>
    <xf numFmtId="4" fontId="13" fillId="0" borderId="59" xfId="0" applyNumberFormat="1" applyFont="1" applyBorder="1" applyAlignment="1">
      <alignment vertical="center"/>
    </xf>
    <xf numFmtId="174" fontId="13" fillId="0" borderId="60" xfId="0" applyNumberFormat="1" applyFont="1" applyBorder="1" applyAlignment="1">
      <alignment vertical="center"/>
    </xf>
    <xf numFmtId="4" fontId="14" fillId="35" borderId="40" xfId="0" applyNumberFormat="1" applyFont="1" applyFill="1" applyBorder="1" applyAlignment="1">
      <alignment vertical="center"/>
    </xf>
    <xf numFmtId="174" fontId="14" fillId="35" borderId="13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4" fillId="0" borderId="61" xfId="0" applyNumberFormat="1" applyFont="1" applyBorder="1" applyAlignment="1">
      <alignment vertical="center"/>
    </xf>
    <xf numFmtId="0" fontId="13" fillId="0" borderId="59" xfId="0" applyFont="1" applyBorder="1" applyAlignment="1">
      <alignment vertical="center" wrapText="1"/>
    </xf>
    <xf numFmtId="4" fontId="13" fillId="0" borderId="24" xfId="0" applyNumberFormat="1" applyFont="1" applyFill="1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 wrapText="1"/>
    </xf>
    <xf numFmtId="4" fontId="13" fillId="0" borderId="59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4" fontId="17" fillId="37" borderId="59" xfId="0" applyNumberFormat="1" applyFont="1" applyFill="1" applyBorder="1" applyAlignment="1">
      <alignment vertical="center"/>
    </xf>
    <xf numFmtId="174" fontId="17" fillId="37" borderId="60" xfId="0" applyNumberFormat="1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3" fillId="0" borderId="63" xfId="0" applyFont="1" applyBorder="1" applyAlignment="1">
      <alignment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4" fontId="13" fillId="0" borderId="15" xfId="0" applyNumberFormat="1" applyFont="1" applyFill="1" applyBorder="1" applyAlignment="1">
      <alignment horizontal="right" vertical="center"/>
    </xf>
    <xf numFmtId="174" fontId="13" fillId="0" borderId="22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center" vertical="center"/>
    </xf>
    <xf numFmtId="49" fontId="15" fillId="33" borderId="62" xfId="0" applyNumberFormat="1" applyFont="1" applyFill="1" applyBorder="1" applyAlignment="1">
      <alignment horizontal="center" vertical="center"/>
    </xf>
    <xf numFmtId="49" fontId="15" fillId="33" borderId="65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/>
    </xf>
    <xf numFmtId="4" fontId="14" fillId="0" borderId="22" xfId="0" applyNumberFormat="1" applyFont="1" applyFill="1" applyBorder="1" applyAlignment="1">
      <alignment horizontal="right" vertical="center"/>
    </xf>
    <xf numFmtId="174" fontId="14" fillId="0" borderId="22" xfId="0" applyNumberFormat="1" applyFont="1" applyFill="1" applyBorder="1" applyAlignment="1">
      <alignment vertical="center"/>
    </xf>
    <xf numFmtId="4" fontId="14" fillId="0" borderId="24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4" fontId="13" fillId="0" borderId="22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" fontId="14" fillId="0" borderId="15" xfId="0" applyNumberFormat="1" applyFont="1" applyFill="1" applyBorder="1" applyAlignment="1">
      <alignment vertical="center"/>
    </xf>
    <xf numFmtId="49" fontId="14" fillId="0" borderId="6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vertical="center" wrapText="1"/>
    </xf>
    <xf numFmtId="174" fontId="13" fillId="0" borderId="15" xfId="0" applyNumberFormat="1" applyFont="1" applyFill="1" applyBorder="1" applyAlignment="1">
      <alignment vertic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49" fontId="14" fillId="0" borderId="56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4" fontId="14" fillId="37" borderId="40" xfId="0" applyNumberFormat="1" applyFont="1" applyFill="1" applyBorder="1" applyAlignment="1">
      <alignment horizontal="right" vertical="center"/>
    </xf>
    <xf numFmtId="174" fontId="14" fillId="37" borderId="28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4" fontId="14" fillId="33" borderId="15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" fontId="13" fillId="33" borderId="15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4" fontId="13" fillId="33" borderId="22" xfId="0" applyNumberFormat="1" applyFont="1" applyFill="1" applyBorder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/>
    </xf>
    <xf numFmtId="4" fontId="14" fillId="33" borderId="22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" fontId="14" fillId="0" borderId="28" xfId="0" applyNumberFormat="1" applyFont="1" applyBorder="1" applyAlignment="1">
      <alignment vertical="center"/>
    </xf>
    <xf numFmtId="0" fontId="13" fillId="33" borderId="0" xfId="0" applyFont="1" applyFill="1" applyAlignment="1">
      <alignment vertical="center"/>
    </xf>
    <xf numFmtId="4" fontId="13" fillId="33" borderId="21" xfId="0" applyNumberFormat="1" applyFont="1" applyFill="1" applyBorder="1" applyAlignment="1">
      <alignment vertical="center"/>
    </xf>
    <xf numFmtId="4" fontId="13" fillId="33" borderId="16" xfId="0" applyNumberFormat="1" applyFont="1" applyFill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13" fillId="38" borderId="15" xfId="0" applyNumberFormat="1" applyFont="1" applyFill="1" applyBorder="1" applyAlignment="1">
      <alignment vertical="center"/>
    </xf>
    <xf numFmtId="4" fontId="13" fillId="38" borderId="21" xfId="0" applyNumberFormat="1" applyFont="1" applyFill="1" applyBorder="1" applyAlignment="1">
      <alignment vertical="center"/>
    </xf>
    <xf numFmtId="4" fontId="13" fillId="38" borderId="16" xfId="0" applyNumberFormat="1" applyFont="1" applyFill="1" applyBorder="1" applyAlignment="1">
      <alignment vertical="center"/>
    </xf>
    <xf numFmtId="0" fontId="13" fillId="38" borderId="0" xfId="0" applyFont="1" applyFill="1" applyAlignment="1">
      <alignment vertical="center"/>
    </xf>
    <xf numFmtId="4" fontId="13" fillId="33" borderId="24" xfId="0" applyNumberFormat="1" applyFont="1" applyFill="1" applyBorder="1" applyAlignment="1">
      <alignment vertical="center"/>
    </xf>
    <xf numFmtId="4" fontId="13" fillId="33" borderId="25" xfId="0" applyNumberFormat="1" applyFont="1" applyFill="1" applyBorder="1" applyAlignment="1">
      <alignment vertical="center"/>
    </xf>
    <xf numFmtId="4" fontId="14" fillId="33" borderId="16" xfId="0" applyNumberFormat="1" applyFont="1" applyFill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4" fontId="13" fillId="0" borderId="60" xfId="0" applyNumberFormat="1" applyFont="1" applyBorder="1" applyAlignment="1">
      <alignment vertical="center"/>
    </xf>
    <xf numFmtId="4" fontId="14" fillId="33" borderId="25" xfId="0" applyNumberFormat="1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4" fontId="14" fillId="0" borderId="30" xfId="0" applyNumberFormat="1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4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4" fontId="48" fillId="0" borderId="0" xfId="0" applyNumberFormat="1" applyFont="1" applyAlignment="1">
      <alignment horizontal="center" vertical="center"/>
    </xf>
    <xf numFmtId="4" fontId="13" fillId="33" borderId="15" xfId="0" applyNumberFormat="1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4" fontId="15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 wrapText="1"/>
    </xf>
    <xf numFmtId="174" fontId="13" fillId="0" borderId="16" xfId="0" applyNumberFormat="1" applyFont="1" applyFill="1" applyBorder="1" applyAlignment="1">
      <alignment horizontal="right" vertical="center"/>
    </xf>
    <xf numFmtId="174" fontId="14" fillId="37" borderId="30" xfId="0" applyNumberFormat="1" applyFont="1" applyFill="1" applyBorder="1" applyAlignment="1">
      <alignment horizontal="right" vertical="center"/>
    </xf>
    <xf numFmtId="174" fontId="14" fillId="0" borderId="16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174" fontId="13" fillId="0" borderId="25" xfId="0" applyNumberFormat="1" applyFont="1" applyFill="1" applyBorder="1" applyAlignment="1">
      <alignment horizontal="right" vertical="center"/>
    </xf>
    <xf numFmtId="174" fontId="14" fillId="0" borderId="25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Alignment="1">
      <alignment vertical="center"/>
    </xf>
    <xf numFmtId="174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5" fillId="33" borderId="61" xfId="0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" fontId="14" fillId="35" borderId="1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49" fontId="13" fillId="0" borderId="67" xfId="0" applyNumberFormat="1" applyFont="1" applyFill="1" applyBorder="1" applyAlignment="1">
      <alignment horizontal="center" vertical="center"/>
    </xf>
    <xf numFmtId="49" fontId="13" fillId="0" borderId="68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right" vertical="center"/>
    </xf>
    <xf numFmtId="4" fontId="13" fillId="0" borderId="70" xfId="0" applyNumberFormat="1" applyFont="1" applyBorder="1" applyAlignment="1">
      <alignment vertical="center"/>
    </xf>
    <xf numFmtId="49" fontId="16" fillId="0" borderId="71" xfId="0" applyNumberFormat="1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left" vertical="center" wrapText="1"/>
    </xf>
    <xf numFmtId="4" fontId="16" fillId="0" borderId="72" xfId="0" applyNumberFormat="1" applyFont="1" applyFill="1" applyBorder="1" applyAlignment="1">
      <alignment horizontal="right" vertical="center"/>
    </xf>
    <xf numFmtId="4" fontId="16" fillId="0" borderId="73" xfId="0" applyNumberFormat="1" applyFont="1" applyFill="1" applyBorder="1" applyAlignment="1">
      <alignment horizontal="right" vertical="center"/>
    </xf>
    <xf numFmtId="4" fontId="16" fillId="0" borderId="74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9" fontId="16" fillId="0" borderId="75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left" vertical="center" wrapText="1"/>
    </xf>
    <xf numFmtId="4" fontId="16" fillId="0" borderId="76" xfId="0" applyNumberFormat="1" applyFont="1" applyFill="1" applyBorder="1" applyAlignment="1">
      <alignment horizontal="right" vertical="center"/>
    </xf>
    <xf numFmtId="4" fontId="16" fillId="0" borderId="77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left" vertical="center" wrapText="1"/>
    </xf>
    <xf numFmtId="4" fontId="16" fillId="0" borderId="22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49" fontId="13" fillId="0" borderId="67" xfId="0" applyNumberFormat="1" applyFont="1" applyFill="1" applyBorder="1" applyAlignment="1">
      <alignment horizontal="center" vertical="center"/>
    </xf>
    <xf numFmtId="49" fontId="13" fillId="0" borderId="68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right" vertical="center"/>
    </xf>
    <xf numFmtId="4" fontId="13" fillId="0" borderId="70" xfId="0" applyNumberFormat="1" applyFont="1" applyFill="1" applyBorder="1" applyAlignment="1">
      <alignment horizontal="right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4" fontId="13" fillId="0" borderId="21" xfId="0" applyNumberFormat="1" applyFont="1" applyFill="1" applyBorder="1" applyAlignment="1">
      <alignment horizontal="right" vertical="center"/>
    </xf>
    <xf numFmtId="4" fontId="14" fillId="35" borderId="15" xfId="0" applyNumberFormat="1" applyFont="1" applyFill="1" applyBorder="1" applyAlignment="1">
      <alignment horizontal="right" vertical="center"/>
    </xf>
    <xf numFmtId="4" fontId="14" fillId="35" borderId="16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4" fontId="13" fillId="0" borderId="40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" fontId="13" fillId="0" borderId="13" xfId="0" applyNumberFormat="1" applyFont="1" applyBorder="1" applyAlignment="1">
      <alignment vertical="center"/>
    </xf>
    <xf numFmtId="4" fontId="14" fillId="37" borderId="40" xfId="0" applyNumberFormat="1" applyFont="1" applyFill="1" applyBorder="1" applyAlignment="1">
      <alignment horizontal="right" vertical="center"/>
    </xf>
    <xf numFmtId="4" fontId="14" fillId="37" borderId="1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14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right" vertical="center"/>
      <protection/>
    </xf>
    <xf numFmtId="4" fontId="13" fillId="0" borderId="0" xfId="52" applyNumberFormat="1" applyFont="1" applyAlignment="1">
      <alignment horizontal="right" vertical="center"/>
      <protection/>
    </xf>
    <xf numFmtId="0" fontId="14" fillId="33" borderId="31" xfId="52" applyFont="1" applyFill="1" applyBorder="1" applyAlignment="1">
      <alignment horizontal="center" vertical="center"/>
      <protection/>
    </xf>
    <xf numFmtId="0" fontId="14" fillId="33" borderId="32" xfId="52" applyFont="1" applyFill="1" applyBorder="1" applyAlignment="1">
      <alignment horizontal="center" vertical="center"/>
      <protection/>
    </xf>
    <xf numFmtId="0" fontId="14" fillId="33" borderId="32" xfId="52" applyFont="1" applyFill="1" applyBorder="1" applyAlignment="1">
      <alignment horizontal="center" vertical="center" wrapText="1"/>
      <protection/>
    </xf>
    <xf numFmtId="4" fontId="14" fillId="33" borderId="32" xfId="52" applyNumberFormat="1" applyFont="1" applyFill="1" applyBorder="1" applyAlignment="1">
      <alignment horizontal="center" vertical="center" wrapText="1"/>
      <protection/>
    </xf>
    <xf numFmtId="0" fontId="14" fillId="33" borderId="33" xfId="52" applyFont="1" applyFill="1" applyBorder="1" applyAlignment="1">
      <alignment horizontal="center" vertical="center" wrapText="1"/>
      <protection/>
    </xf>
    <xf numFmtId="0" fontId="14" fillId="33" borderId="34" xfId="52" applyFont="1" applyFill="1" applyBorder="1" applyAlignment="1">
      <alignment horizontal="center" vertical="center"/>
      <protection/>
    </xf>
    <xf numFmtId="1" fontId="14" fillId="33" borderId="62" xfId="52" applyNumberFormat="1" applyFont="1" applyFill="1" applyBorder="1" applyAlignment="1">
      <alignment horizontal="center" vertical="center"/>
      <protection/>
    </xf>
    <xf numFmtId="1" fontId="14" fillId="33" borderId="61" xfId="52" applyNumberFormat="1" applyFont="1" applyFill="1" applyBorder="1" applyAlignment="1">
      <alignment horizontal="center" vertical="center"/>
      <protection/>
    </xf>
    <xf numFmtId="1" fontId="14" fillId="33" borderId="61" xfId="52" applyNumberFormat="1" applyFont="1" applyFill="1" applyBorder="1" applyAlignment="1">
      <alignment horizontal="center" vertical="center" wrapText="1"/>
      <protection/>
    </xf>
    <xf numFmtId="1" fontId="14" fillId="33" borderId="78" xfId="52" applyNumberFormat="1" applyFont="1" applyFill="1" applyBorder="1" applyAlignment="1">
      <alignment horizontal="center" vertical="center" wrapText="1"/>
      <protection/>
    </xf>
    <xf numFmtId="1" fontId="14" fillId="33" borderId="16" xfId="52" applyNumberFormat="1" applyFont="1" applyFill="1" applyBorder="1" applyAlignment="1">
      <alignment horizontal="center" vertical="center"/>
      <protection/>
    </xf>
    <xf numFmtId="1" fontId="14" fillId="0" borderId="0" xfId="52" applyNumberFormat="1" applyFont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15" xfId="52" applyFont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 wrapText="1"/>
    </xf>
    <xf numFmtId="4" fontId="13" fillId="0" borderId="15" xfId="52" applyNumberFormat="1" applyFont="1" applyBorder="1" applyAlignment="1">
      <alignment vertical="center"/>
      <protection/>
    </xf>
    <xf numFmtId="4" fontId="13" fillId="0" borderId="79" xfId="52" applyNumberFormat="1" applyFont="1" applyBorder="1" applyAlignment="1">
      <alignment vertical="center"/>
      <protection/>
    </xf>
    <xf numFmtId="174" fontId="13" fillId="0" borderId="16" xfId="52" applyNumberFormat="1" applyFont="1" applyBorder="1" applyAlignment="1">
      <alignment vertical="center"/>
      <protection/>
    </xf>
    <xf numFmtId="4" fontId="14" fillId="37" borderId="40" xfId="52" applyNumberFormat="1" applyFont="1" applyFill="1" applyBorder="1" applyAlignment="1">
      <alignment vertical="center"/>
      <protection/>
    </xf>
    <xf numFmtId="4" fontId="14" fillId="37" borderId="50" xfId="52" applyNumberFormat="1" applyFont="1" applyFill="1" applyBorder="1" applyAlignment="1">
      <alignment vertical="center"/>
      <protection/>
    </xf>
    <xf numFmtId="174" fontId="14" fillId="37" borderId="13" xfId="52" applyNumberFormat="1" applyFont="1" applyFill="1" applyBorder="1" applyAlignment="1">
      <alignment vertical="center"/>
      <protection/>
    </xf>
    <xf numFmtId="0" fontId="14" fillId="0" borderId="0" xfId="52" applyFont="1" applyAlignment="1">
      <alignment vertical="center"/>
      <protection/>
    </xf>
    <xf numFmtId="4" fontId="13" fillId="0" borderId="0" xfId="52" applyNumberFormat="1" applyFont="1" applyAlignment="1">
      <alignment vertical="center"/>
      <protection/>
    </xf>
    <xf numFmtId="0" fontId="14" fillId="33" borderId="80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4" fillId="35" borderId="32" xfId="0" applyFont="1" applyFill="1" applyBorder="1" applyAlignment="1">
      <alignment vertical="center" wrapText="1"/>
    </xf>
    <xf numFmtId="174" fontId="14" fillId="35" borderId="34" xfId="0" applyNumberFormat="1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vertical="center"/>
    </xf>
    <xf numFmtId="174" fontId="14" fillId="35" borderId="25" xfId="0" applyNumberFormat="1" applyFont="1" applyFill="1" applyBorder="1" applyAlignment="1">
      <alignment vertical="center"/>
    </xf>
    <xf numFmtId="174" fontId="13" fillId="0" borderId="23" xfId="0" applyNumberFormat="1" applyFont="1" applyBorder="1" applyAlignment="1">
      <alignment vertical="center"/>
    </xf>
    <xf numFmtId="4" fontId="14" fillId="37" borderId="52" xfId="0" applyNumberFormat="1" applyFont="1" applyFill="1" applyBorder="1" applyAlignment="1">
      <alignment vertical="center"/>
    </xf>
    <xf numFmtId="174" fontId="14" fillId="37" borderId="45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4" fontId="13" fillId="0" borderId="17" xfId="0" applyNumberFormat="1" applyFont="1" applyBorder="1" applyAlignment="1">
      <alignment vertical="center"/>
    </xf>
    <xf numFmtId="9" fontId="13" fillId="0" borderId="10" xfId="59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4" fillId="35" borderId="26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vertical="center"/>
    </xf>
    <xf numFmtId="0" fontId="14" fillId="35" borderId="15" xfId="0" applyFont="1" applyFill="1" applyBorder="1" applyAlignment="1">
      <alignment vertical="center" wrapText="1"/>
    </xf>
    <xf numFmtId="174" fontId="14" fillId="35" borderId="16" xfId="0" applyNumberFormat="1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 wrapText="1"/>
    </xf>
    <xf numFmtId="4" fontId="14" fillId="35" borderId="10" xfId="0" applyNumberFormat="1" applyFont="1" applyFill="1" applyBorder="1" applyAlignment="1">
      <alignment vertical="center"/>
    </xf>
    <xf numFmtId="174" fontId="14" fillId="35" borderId="2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174" fontId="14" fillId="35" borderId="25" xfId="0" applyNumberFormat="1" applyFont="1" applyFill="1" applyBorder="1" applyAlignment="1">
      <alignment horizontal="center" vertical="center"/>
    </xf>
    <xf numFmtId="174" fontId="14" fillId="35" borderId="34" xfId="0" applyNumberFormat="1" applyFont="1" applyFill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174" fontId="14" fillId="33" borderId="34" xfId="0" applyNumberFormat="1" applyFont="1" applyFill="1" applyBorder="1" applyAlignment="1">
      <alignment horizontal="center" vertical="center"/>
    </xf>
    <xf numFmtId="3" fontId="14" fillId="33" borderId="38" xfId="0" applyNumberFormat="1" applyFont="1" applyFill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vertical="center" wrapText="1"/>
    </xf>
    <xf numFmtId="4" fontId="16" fillId="0" borderId="20" xfId="0" applyNumberFormat="1" applyFont="1" applyBorder="1" applyAlignment="1">
      <alignment horizontal="right" vertical="center"/>
    </xf>
    <xf numFmtId="174" fontId="16" fillId="0" borderId="23" xfId="0" applyNumberFormat="1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4" fontId="13" fillId="0" borderId="12" xfId="0" applyNumberFormat="1" applyFont="1" applyBorder="1" applyAlignment="1">
      <alignment horizontal="right" vertical="center"/>
    </xf>
    <xf numFmtId="174" fontId="13" fillId="0" borderId="13" xfId="0" applyNumberFormat="1" applyFont="1" applyBorder="1" applyAlignment="1">
      <alignment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81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vertical="center"/>
    </xf>
    <xf numFmtId="4" fontId="14" fillId="35" borderId="41" xfId="0" applyNumberFormat="1" applyFont="1" applyFill="1" applyBorder="1" applyAlignment="1">
      <alignment horizontal="right" vertical="center"/>
    </xf>
    <xf numFmtId="4" fontId="14" fillId="37" borderId="44" xfId="0" applyNumberFormat="1" applyFont="1" applyFill="1" applyBorder="1" applyAlignment="1">
      <alignment horizontal="right" vertical="center"/>
    </xf>
    <xf numFmtId="169" fontId="14" fillId="37" borderId="45" xfId="0" applyNumberFormat="1" applyFont="1" applyFill="1" applyBorder="1" applyAlignment="1">
      <alignment vertical="center"/>
    </xf>
    <xf numFmtId="0" fontId="14" fillId="35" borderId="41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174" fontId="13" fillId="0" borderId="13" xfId="0" applyNumberFormat="1" applyFont="1" applyBorder="1" applyAlignment="1">
      <alignment horizontal="right" vertical="center"/>
    </xf>
    <xf numFmtId="174" fontId="13" fillId="0" borderId="23" xfId="0" applyNumberFormat="1" applyFont="1" applyBorder="1" applyAlignment="1">
      <alignment horizontal="right" vertical="center"/>
    </xf>
    <xf numFmtId="4" fontId="14" fillId="37" borderId="12" xfId="0" applyNumberFormat="1" applyFont="1" applyFill="1" applyBorder="1" applyAlignment="1">
      <alignment horizontal="right" vertical="center"/>
    </xf>
    <xf numFmtId="174" fontId="14" fillId="37" borderId="13" xfId="0" applyNumberFormat="1" applyFont="1" applyFill="1" applyBorder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74" fontId="13" fillId="0" borderId="0" xfId="0" applyNumberFormat="1" applyFont="1" applyAlignment="1">
      <alignment horizontal="right" vertical="center"/>
    </xf>
    <xf numFmtId="164" fontId="14" fillId="33" borderId="41" xfId="0" applyNumberFormat="1" applyFont="1" applyFill="1" applyBorder="1" applyAlignment="1">
      <alignment horizontal="center" vertical="center"/>
    </xf>
    <xf numFmtId="0" fontId="14" fillId="33" borderId="8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164" fontId="14" fillId="33" borderId="29" xfId="0" applyNumberFormat="1" applyFont="1" applyFill="1" applyBorder="1" applyAlignment="1">
      <alignment horizontal="center" vertical="center"/>
    </xf>
    <xf numFmtId="3" fontId="14" fillId="33" borderId="30" xfId="0" applyNumberFormat="1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vertical="center"/>
    </xf>
    <xf numFmtId="4" fontId="14" fillId="35" borderId="21" xfId="0" applyNumberFormat="1" applyFont="1" applyFill="1" applyBorder="1" applyAlignment="1">
      <alignment horizontal="right" vertical="center"/>
    </xf>
    <xf numFmtId="174" fontId="14" fillId="35" borderId="16" xfId="0" applyNumberFormat="1" applyFont="1" applyFill="1" applyBorder="1" applyAlignment="1">
      <alignment horizontal="right" vertical="center"/>
    </xf>
    <xf numFmtId="49" fontId="16" fillId="0" borderId="2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4" fontId="16" fillId="0" borderId="23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vertical="center"/>
    </xf>
    <xf numFmtId="174" fontId="14" fillId="37" borderId="45" xfId="0" applyNumberFormat="1" applyFont="1" applyFill="1" applyBorder="1" applyAlignment="1">
      <alignment horizontal="right" vertical="center"/>
    </xf>
    <xf numFmtId="0" fontId="14" fillId="35" borderId="12" xfId="0" applyFont="1" applyFill="1" applyBorder="1" applyAlignment="1">
      <alignment vertical="center" wrapText="1"/>
    </xf>
    <xf numFmtId="4" fontId="14" fillId="35" borderId="20" xfId="0" applyNumberFormat="1" applyFont="1" applyFill="1" applyBorder="1" applyAlignment="1">
      <alignment horizontal="right" vertical="center"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vertical="center" wrapText="1"/>
      <protection/>
    </xf>
    <xf numFmtId="43" fontId="13" fillId="0" borderId="0" xfId="42" applyFont="1" applyAlignment="1">
      <alignment vertical="center" wrapText="1"/>
    </xf>
    <xf numFmtId="43" fontId="13" fillId="0" borderId="0" xfId="42" applyFont="1" applyAlignment="1">
      <alignment horizontal="right" vertical="center" wrapText="1"/>
    </xf>
    <xf numFmtId="0" fontId="14" fillId="33" borderId="31" xfId="55" applyFont="1" applyFill="1" applyBorder="1" applyAlignment="1">
      <alignment horizontal="center" vertical="center" wrapText="1"/>
      <protection/>
    </xf>
    <xf numFmtId="0" fontId="14" fillId="33" borderId="32" xfId="55" applyFont="1" applyFill="1" applyBorder="1" applyAlignment="1">
      <alignment horizontal="center" vertical="center" wrapText="1"/>
      <protection/>
    </xf>
    <xf numFmtId="43" fontId="14" fillId="33" borderId="32" xfId="42" applyFont="1" applyFill="1" applyBorder="1" applyAlignment="1">
      <alignment horizontal="center" vertical="center" wrapText="1"/>
    </xf>
    <xf numFmtId="43" fontId="14" fillId="33" borderId="41" xfId="42" applyFont="1" applyFill="1" applyBorder="1" applyAlignment="1">
      <alignment horizontal="center" vertical="center" wrapText="1"/>
    </xf>
    <xf numFmtId="0" fontId="14" fillId="33" borderId="34" xfId="55" applyFont="1" applyFill="1" applyBorder="1" applyAlignment="1">
      <alignment horizontal="center" vertical="center" wrapText="1"/>
      <protection/>
    </xf>
    <xf numFmtId="1" fontId="14" fillId="33" borderId="11" xfId="55" applyNumberFormat="1" applyFont="1" applyFill="1" applyBorder="1" applyAlignment="1">
      <alignment horizontal="center" vertical="center" wrapText="1"/>
      <protection/>
    </xf>
    <xf numFmtId="1" fontId="14" fillId="33" borderId="40" xfId="55" applyNumberFormat="1" applyFont="1" applyFill="1" applyBorder="1" applyAlignment="1">
      <alignment horizontal="center" vertical="center" wrapText="1"/>
      <protection/>
    </xf>
    <xf numFmtId="1" fontId="14" fillId="33" borderId="40" xfId="42" applyNumberFormat="1" applyFont="1" applyFill="1" applyBorder="1" applyAlignment="1">
      <alignment horizontal="center" vertical="center" wrapText="1"/>
    </xf>
    <xf numFmtId="1" fontId="14" fillId="33" borderId="12" xfId="42" applyNumberFormat="1" applyFont="1" applyFill="1" applyBorder="1" applyAlignment="1">
      <alignment horizontal="center" vertical="center" wrapText="1"/>
    </xf>
    <xf numFmtId="1" fontId="14" fillId="33" borderId="13" xfId="55" applyNumberFormat="1" applyFont="1" applyFill="1" applyBorder="1" applyAlignment="1">
      <alignment horizontal="center" vertical="center" wrapText="1"/>
      <protection/>
    </xf>
    <xf numFmtId="1" fontId="13" fillId="0" borderId="0" xfId="55" applyNumberFormat="1" applyFont="1" applyAlignment="1">
      <alignment horizontal="center" vertical="center" wrapText="1"/>
      <protection/>
    </xf>
    <xf numFmtId="0" fontId="14" fillId="35" borderId="81" xfId="55" applyFont="1" applyFill="1" applyBorder="1" applyAlignment="1">
      <alignment horizontal="center" vertical="center" wrapText="1"/>
      <protection/>
    </xf>
    <xf numFmtId="0" fontId="14" fillId="35" borderId="37" xfId="55" applyFont="1" applyFill="1" applyBorder="1" applyAlignment="1">
      <alignment vertical="center" wrapText="1"/>
      <protection/>
    </xf>
    <xf numFmtId="43" fontId="14" fillId="35" borderId="37" xfId="42" applyFont="1" applyFill="1" applyBorder="1" applyAlignment="1">
      <alignment vertical="center" wrapText="1"/>
    </xf>
    <xf numFmtId="169" fontId="14" fillId="35" borderId="38" xfId="55" applyNumberFormat="1" applyFont="1" applyFill="1" applyBorder="1" applyAlignment="1">
      <alignment vertical="center" wrapText="1"/>
      <protection/>
    </xf>
    <xf numFmtId="0" fontId="14" fillId="0" borderId="0" xfId="55" applyFont="1" applyAlignment="1">
      <alignment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20" xfId="55" applyFont="1" applyBorder="1" applyAlignment="1">
      <alignment vertical="center" wrapText="1"/>
      <protection/>
    </xf>
    <xf numFmtId="43" fontId="13" fillId="0" borderId="20" xfId="42" applyFont="1" applyBorder="1" applyAlignment="1">
      <alignment vertical="center" wrapText="1"/>
    </xf>
    <xf numFmtId="169" fontId="13" fillId="0" borderId="23" xfId="55" applyNumberFormat="1" applyFont="1" applyBorder="1" applyAlignment="1">
      <alignment vertical="center" wrapText="1"/>
      <protection/>
    </xf>
    <xf numFmtId="0" fontId="13" fillId="0" borderId="24" xfId="55" applyFont="1" applyBorder="1" applyAlignment="1">
      <alignment vertical="center" wrapText="1"/>
      <protection/>
    </xf>
    <xf numFmtId="43" fontId="13" fillId="0" borderId="24" xfId="42" applyFont="1" applyBorder="1" applyAlignment="1">
      <alignment horizontal="right" vertical="center" wrapText="1"/>
    </xf>
    <xf numFmtId="43" fontId="13" fillId="0" borderId="24" xfId="42" applyFont="1" applyBorder="1" applyAlignment="1">
      <alignment vertical="center" wrapText="1"/>
    </xf>
    <xf numFmtId="0" fontId="13" fillId="0" borderId="39" xfId="55" applyFont="1" applyBorder="1" applyAlignment="1">
      <alignment horizontal="center" vertical="center" wrapText="1"/>
      <protection/>
    </xf>
    <xf numFmtId="169" fontId="13" fillId="0" borderId="25" xfId="55" applyNumberFormat="1" applyFont="1" applyBorder="1" applyAlignment="1">
      <alignment vertical="center" wrapText="1"/>
      <protection/>
    </xf>
    <xf numFmtId="0" fontId="14" fillId="35" borderId="26" xfId="55" applyFont="1" applyFill="1" applyBorder="1" applyAlignment="1">
      <alignment horizontal="center" vertical="center" wrapText="1"/>
      <protection/>
    </xf>
    <xf numFmtId="0" fontId="14" fillId="35" borderId="21" xfId="55" applyFont="1" applyFill="1" applyBorder="1" applyAlignment="1">
      <alignment vertical="center" wrapText="1"/>
      <protection/>
    </xf>
    <xf numFmtId="43" fontId="14" fillId="35" borderId="21" xfId="42" applyFont="1" applyFill="1" applyBorder="1" applyAlignment="1">
      <alignment vertical="center" wrapText="1"/>
    </xf>
    <xf numFmtId="169" fontId="14" fillId="35" borderId="16" xfId="55" applyNumberFormat="1" applyFont="1" applyFill="1" applyBorder="1" applyAlignment="1">
      <alignment vertical="center" wrapText="1"/>
      <protection/>
    </xf>
    <xf numFmtId="0" fontId="14" fillId="35" borderId="14" xfId="55" applyFont="1" applyFill="1" applyBorder="1" applyAlignment="1">
      <alignment horizontal="center" vertical="center" wrapText="1"/>
      <protection/>
    </xf>
    <xf numFmtId="0" fontId="14" fillId="35" borderId="15" xfId="55" applyFont="1" applyFill="1" applyBorder="1" applyAlignment="1">
      <alignment vertical="center" wrapText="1"/>
      <protection/>
    </xf>
    <xf numFmtId="43" fontId="14" fillId="35" borderId="15" xfId="42" applyFont="1" applyFill="1" applyBorder="1" applyAlignment="1">
      <alignment vertical="center" wrapText="1"/>
    </xf>
    <xf numFmtId="169" fontId="14" fillId="35" borderId="16" xfId="55" applyNumberFormat="1" applyFont="1" applyFill="1" applyBorder="1" applyAlignment="1">
      <alignment horizontal="right" vertical="center" wrapText="1"/>
      <protection/>
    </xf>
    <xf numFmtId="0" fontId="14" fillId="35" borderId="31" xfId="55" applyFont="1" applyFill="1" applyBorder="1" applyAlignment="1">
      <alignment horizontal="center" vertical="center" wrapText="1"/>
      <protection/>
    </xf>
    <xf numFmtId="0" fontId="14" fillId="35" borderId="32" xfId="55" applyFont="1" applyFill="1" applyBorder="1" applyAlignment="1">
      <alignment vertical="center" wrapText="1"/>
      <protection/>
    </xf>
    <xf numFmtId="43" fontId="14" fillId="35" borderId="32" xfId="42" applyFont="1" applyFill="1" applyBorder="1" applyAlignment="1">
      <alignment vertical="center" wrapText="1"/>
    </xf>
    <xf numFmtId="43" fontId="14" fillId="35" borderId="41" xfId="42" applyFont="1" applyFill="1" applyBorder="1" applyAlignment="1">
      <alignment vertical="center" wrapText="1"/>
    </xf>
    <xf numFmtId="169" fontId="14" fillId="35" borderId="34" xfId="55" applyNumberFormat="1" applyFont="1" applyFill="1" applyBorder="1" applyAlignment="1">
      <alignment vertical="center" wrapText="1"/>
      <protection/>
    </xf>
    <xf numFmtId="0" fontId="13" fillId="0" borderId="36" xfId="55" applyFont="1" applyBorder="1" applyAlignment="1">
      <alignment horizontal="center" vertical="center" wrapText="1"/>
      <protection/>
    </xf>
    <xf numFmtId="43" fontId="13" fillId="0" borderId="10" xfId="42" applyFont="1" applyBorder="1" applyAlignment="1">
      <alignment vertical="center" wrapText="1"/>
    </xf>
    <xf numFmtId="0" fontId="13" fillId="0" borderId="10" xfId="55" applyFont="1" applyBorder="1" applyAlignment="1">
      <alignment vertical="center" wrapText="1"/>
      <protection/>
    </xf>
    <xf numFmtId="43" fontId="13" fillId="0" borderId="22" xfId="42" applyFont="1" applyBorder="1" applyAlignment="1">
      <alignment vertical="center" wrapText="1"/>
    </xf>
    <xf numFmtId="0" fontId="14" fillId="35" borderId="19" xfId="55" applyFont="1" applyFill="1" applyBorder="1" applyAlignment="1">
      <alignment horizontal="center" vertical="center" wrapText="1"/>
      <protection/>
    </xf>
    <xf numFmtId="0" fontId="14" fillId="35" borderId="20" xfId="55" applyFont="1" applyFill="1" applyBorder="1" applyAlignment="1">
      <alignment vertical="center" wrapText="1"/>
      <protection/>
    </xf>
    <xf numFmtId="43" fontId="14" fillId="35" borderId="20" xfId="42" applyFont="1" applyFill="1" applyBorder="1" applyAlignment="1">
      <alignment vertical="center" wrapText="1"/>
    </xf>
    <xf numFmtId="169" fontId="14" fillId="35" borderId="23" xfId="55" applyNumberFormat="1" applyFont="1" applyFill="1" applyBorder="1" applyAlignment="1">
      <alignment vertical="center" wrapText="1"/>
      <protection/>
    </xf>
    <xf numFmtId="43" fontId="14" fillId="0" borderId="0" xfId="55" applyNumberFormat="1" applyFont="1" applyAlignment="1">
      <alignment vertical="center" wrapText="1"/>
      <protection/>
    </xf>
    <xf numFmtId="43" fontId="13" fillId="0" borderId="0" xfId="55" applyNumberFormat="1" applyFont="1" applyAlignment="1">
      <alignment vertical="center" wrapText="1"/>
      <protection/>
    </xf>
    <xf numFmtId="0" fontId="14" fillId="35" borderId="11" xfId="55" applyFont="1" applyFill="1" applyBorder="1" applyAlignment="1">
      <alignment horizontal="center" vertical="center" wrapText="1"/>
      <protection/>
    </xf>
    <xf numFmtId="0" fontId="14" fillId="35" borderId="40" xfId="55" applyFont="1" applyFill="1" applyBorder="1" applyAlignment="1">
      <alignment vertical="center" wrapText="1"/>
      <protection/>
    </xf>
    <xf numFmtId="43" fontId="14" fillId="35" borderId="12" xfId="42" applyFont="1" applyFill="1" applyBorder="1" applyAlignment="1">
      <alignment vertical="center" wrapText="1"/>
    </xf>
    <xf numFmtId="169" fontId="14" fillId="35" borderId="30" xfId="55" applyNumberFormat="1" applyFont="1" applyFill="1" applyBorder="1" applyAlignment="1">
      <alignment horizontal="right" vertical="center" wrapText="1"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Alignment="1">
      <alignment horizontal="left" vertical="center"/>
      <protection/>
    </xf>
    <xf numFmtId="169" fontId="14" fillId="0" borderId="0" xfId="0" applyNumberFormat="1" applyFont="1" applyFill="1" applyAlignment="1">
      <alignment horizontal="right" vertical="center"/>
    </xf>
    <xf numFmtId="0" fontId="14" fillId="0" borderId="0" xfId="53" applyFont="1" applyAlignment="1">
      <alignment horizontal="center" vertical="center"/>
      <protection/>
    </xf>
    <xf numFmtId="0" fontId="13" fillId="0" borderId="0" xfId="0" applyFont="1" applyAlignment="1">
      <alignment horizontal="right" vertical="center" wrapText="1"/>
    </xf>
    <xf numFmtId="0" fontId="14" fillId="0" borderId="15" xfId="53" applyFont="1" applyBorder="1" applyAlignment="1">
      <alignment horizontal="center" vertical="center"/>
      <protection/>
    </xf>
    <xf numFmtId="4" fontId="14" fillId="37" borderId="15" xfId="53" applyNumberFormat="1" applyFont="1" applyFill="1" applyBorder="1" applyAlignment="1">
      <alignment horizontal="right" vertical="center"/>
      <protection/>
    </xf>
    <xf numFmtId="169" fontId="14" fillId="37" borderId="15" xfId="53" applyNumberFormat="1" applyFont="1" applyFill="1" applyBorder="1" applyAlignment="1">
      <alignment vertical="center"/>
      <protection/>
    </xf>
    <xf numFmtId="0" fontId="14" fillId="37" borderId="0" xfId="53" applyFont="1" applyFill="1" applyAlignment="1">
      <alignment horizontal="center" vertical="center"/>
      <protection/>
    </xf>
    <xf numFmtId="4" fontId="14" fillId="37" borderId="0" xfId="53" applyNumberFormat="1" applyFont="1" applyFill="1" applyAlignment="1">
      <alignment horizontal="center" vertical="center"/>
      <protection/>
    </xf>
    <xf numFmtId="4" fontId="14" fillId="37" borderId="0" xfId="53" applyNumberFormat="1" applyFont="1" applyFill="1" applyAlignment="1">
      <alignment vertical="center"/>
      <protection/>
    </xf>
    <xf numFmtId="4" fontId="13" fillId="0" borderId="0" xfId="53" applyNumberFormat="1" applyFont="1" applyAlignment="1">
      <alignment vertical="center"/>
      <protection/>
    </xf>
    <xf numFmtId="4" fontId="48" fillId="0" borderId="0" xfId="53" applyNumberFormat="1" applyFont="1" applyAlignment="1">
      <alignment vertical="center"/>
      <protection/>
    </xf>
    <xf numFmtId="0" fontId="48" fillId="0" borderId="0" xfId="53" applyFont="1" applyAlignment="1">
      <alignment vertical="center"/>
      <protection/>
    </xf>
    <xf numFmtId="0" fontId="13" fillId="0" borderId="0" xfId="53" applyFont="1" applyAlignment="1">
      <alignment horizontal="right" vertical="center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left" vertical="center"/>
      <protection/>
    </xf>
    <xf numFmtId="0" fontId="14" fillId="0" borderId="0" xfId="55" applyFont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/>
      <protection/>
    </xf>
    <xf numFmtId="49" fontId="13" fillId="0" borderId="15" xfId="53" applyNumberFormat="1" applyFont="1" applyBorder="1" applyAlignment="1">
      <alignment horizontal="center" vertical="center"/>
      <protection/>
    </xf>
    <xf numFmtId="0" fontId="13" fillId="0" borderId="0" xfId="53" applyFont="1" applyAlignment="1">
      <alignment vertical="center"/>
      <protection/>
    </xf>
    <xf numFmtId="0" fontId="13" fillId="0" borderId="15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174" fontId="13" fillId="0" borderId="25" xfId="0" applyNumberFormat="1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174" fontId="13" fillId="0" borderId="25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174" fontId="14" fillId="0" borderId="25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4" fontId="13" fillId="0" borderId="24" xfId="0" applyNumberFormat="1" applyFont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174" fontId="13" fillId="0" borderId="16" xfId="0" applyNumberFormat="1" applyFont="1" applyBorder="1" applyAlignment="1">
      <alignment vertical="center" wrapText="1"/>
    </xf>
    <xf numFmtId="174" fontId="14" fillId="0" borderId="16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174" fontId="17" fillId="0" borderId="0" xfId="0" applyNumberFormat="1" applyFont="1" applyBorder="1" applyAlignment="1">
      <alignment vertical="center" wrapText="1"/>
    </xf>
    <xf numFmtId="0" fontId="13" fillId="0" borderId="81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4" fontId="14" fillId="0" borderId="28" xfId="0" applyNumberFormat="1" applyFont="1" applyBorder="1" applyAlignment="1">
      <alignment horizontal="right" vertical="center" wrapText="1"/>
    </xf>
    <xf numFmtId="174" fontId="14" fillId="0" borderId="3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0" fontId="14" fillId="33" borderId="35" xfId="55" applyFont="1" applyFill="1" applyBorder="1" applyAlignment="1">
      <alignment horizontal="center" vertical="center" wrapText="1"/>
      <protection/>
    </xf>
    <xf numFmtId="0" fontId="14" fillId="33" borderId="41" xfId="55" applyFont="1" applyFill="1" applyBorder="1" applyAlignment="1">
      <alignment horizontal="center" vertical="center" wrapText="1"/>
      <protection/>
    </xf>
    <xf numFmtId="1" fontId="14" fillId="33" borderId="46" xfId="55" applyNumberFormat="1" applyFont="1" applyFill="1" applyBorder="1" applyAlignment="1">
      <alignment horizontal="center" vertical="center" wrapText="1"/>
      <protection/>
    </xf>
    <xf numFmtId="1" fontId="14" fillId="33" borderId="12" xfId="55" applyNumberFormat="1" applyFont="1" applyFill="1" applyBorder="1" applyAlignment="1">
      <alignment horizontal="center" vertical="center" wrapText="1"/>
      <protection/>
    </xf>
    <xf numFmtId="1" fontId="14" fillId="0" borderId="0" xfId="55" applyNumberFormat="1" applyFont="1" applyAlignment="1">
      <alignment horizontal="center" vertical="center" wrapText="1"/>
      <protection/>
    </xf>
    <xf numFmtId="0" fontId="14" fillId="35" borderId="39" xfId="55" applyFont="1" applyFill="1" applyBorder="1" applyAlignment="1">
      <alignment horizontal="center" vertical="center" wrapText="1"/>
      <protection/>
    </xf>
    <xf numFmtId="0" fontId="14" fillId="35" borderId="24" xfId="55" applyFont="1" applyFill="1" applyBorder="1" applyAlignment="1">
      <alignment vertical="center" wrapText="1"/>
      <protection/>
    </xf>
    <xf numFmtId="43" fontId="14" fillId="35" borderId="24" xfId="42" applyFont="1" applyFill="1" applyBorder="1" applyAlignment="1">
      <alignment vertical="center" wrapText="1"/>
    </xf>
    <xf numFmtId="169" fontId="14" fillId="35" borderId="25" xfId="55" applyNumberFormat="1" applyFont="1" applyFill="1" applyBorder="1" applyAlignment="1">
      <alignment vertical="center" wrapText="1"/>
      <protection/>
    </xf>
    <xf numFmtId="39" fontId="13" fillId="0" borderId="20" xfId="42" applyNumberFormat="1" applyFont="1" applyBorder="1" applyAlignment="1">
      <alignment vertical="center" wrapText="1"/>
    </xf>
    <xf numFmtId="39" fontId="13" fillId="0" borderId="24" xfId="42" applyNumberFormat="1" applyFont="1" applyBorder="1" applyAlignment="1">
      <alignment vertical="center" wrapText="1"/>
    </xf>
    <xf numFmtId="39" fontId="14" fillId="35" borderId="37" xfId="42" applyNumberFormat="1" applyFont="1" applyFill="1" applyBorder="1" applyAlignment="1">
      <alignment vertical="center" wrapText="1"/>
    </xf>
    <xf numFmtId="39" fontId="13" fillId="0" borderId="24" xfId="42" applyNumberFormat="1" applyFont="1" applyFill="1" applyBorder="1" applyAlignment="1">
      <alignment vertical="center" wrapText="1"/>
    </xf>
    <xf numFmtId="39" fontId="14" fillId="35" borderId="21" xfId="42" applyNumberFormat="1" applyFont="1" applyFill="1" applyBorder="1" applyAlignment="1">
      <alignment vertical="center" wrapText="1"/>
    </xf>
    <xf numFmtId="39" fontId="14" fillId="35" borderId="24" xfId="42" applyNumberFormat="1" applyFont="1" applyFill="1" applyBorder="1" applyAlignment="1">
      <alignment vertical="center" wrapText="1"/>
    </xf>
    <xf numFmtId="169" fontId="13" fillId="0" borderId="23" xfId="55" applyNumberFormat="1" applyFont="1" applyBorder="1" applyAlignment="1">
      <alignment horizontal="right" vertical="center" wrapText="1"/>
      <protection/>
    </xf>
    <xf numFmtId="0" fontId="14" fillId="35" borderId="82" xfId="55" applyFont="1" applyFill="1" applyBorder="1" applyAlignment="1">
      <alignment horizontal="center" vertical="center" wrapText="1"/>
      <protection/>
    </xf>
    <xf numFmtId="0" fontId="14" fillId="35" borderId="29" xfId="55" applyFont="1" applyFill="1" applyBorder="1" applyAlignment="1">
      <alignment vertical="center" wrapText="1"/>
      <protection/>
    </xf>
    <xf numFmtId="39" fontId="14" fillId="35" borderId="29" xfId="42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 vertical="center"/>
    </xf>
    <xf numFmtId="0" fontId="13" fillId="0" borderId="15" xfId="0" applyFont="1" applyFill="1" applyBorder="1" applyAlignment="1">
      <alignment vertical="center" wrapText="1"/>
    </xf>
    <xf numFmtId="4" fontId="17" fillId="37" borderId="22" xfId="0" applyNumberFormat="1" applyFont="1" applyFill="1" applyBorder="1" applyAlignment="1">
      <alignment vertical="center"/>
    </xf>
    <xf numFmtId="174" fontId="17" fillId="37" borderId="25" xfId="0" applyNumberFormat="1" applyFont="1" applyFill="1" applyBorder="1" applyAlignment="1">
      <alignment vertical="center"/>
    </xf>
    <xf numFmtId="4" fontId="14" fillId="37" borderId="4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69" fontId="5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9" fontId="14" fillId="35" borderId="43" xfId="0" applyNumberFormat="1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9" fontId="14" fillId="35" borderId="24" xfId="0" applyNumberFormat="1" applyFont="1" applyFill="1" applyBorder="1" applyAlignment="1">
      <alignment vertical="center"/>
    </xf>
    <xf numFmtId="172" fontId="14" fillId="35" borderId="24" xfId="0" applyNumberFormat="1" applyFont="1" applyFill="1" applyBorder="1" applyAlignment="1">
      <alignment horizontal="center" vertical="center"/>
    </xf>
    <xf numFmtId="195" fontId="14" fillId="35" borderId="25" xfId="0" applyNumberFormat="1" applyFont="1" applyFill="1" applyBorder="1" applyAlignment="1">
      <alignment horizontal="center" vertical="center"/>
    </xf>
    <xf numFmtId="195" fontId="14" fillId="35" borderId="16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vertical="center"/>
    </xf>
    <xf numFmtId="172" fontId="14" fillId="0" borderId="20" xfId="0" applyNumberFormat="1" applyFont="1" applyBorder="1" applyAlignment="1">
      <alignment horizontal="right" vertical="center"/>
    </xf>
    <xf numFmtId="195" fontId="14" fillId="0" borderId="38" xfId="0" applyNumberFormat="1" applyFont="1" applyBorder="1" applyAlignment="1">
      <alignment vertical="center"/>
    </xf>
    <xf numFmtId="49" fontId="13" fillId="0" borderId="20" xfId="0" applyNumberFormat="1" applyFont="1" applyBorder="1" applyAlignment="1">
      <alignment vertical="center" wrapText="1"/>
    </xf>
    <xf numFmtId="172" fontId="13" fillId="0" borderId="20" xfId="0" applyNumberFormat="1" applyFont="1" applyBorder="1" applyAlignment="1">
      <alignment horizontal="right" vertical="center"/>
    </xf>
    <xf numFmtId="4" fontId="14" fillId="0" borderId="20" xfId="0" applyNumberFormat="1" applyFont="1" applyBorder="1" applyAlignment="1">
      <alignment vertical="center"/>
    </xf>
    <xf numFmtId="195" fontId="14" fillId="0" borderId="23" xfId="0" applyNumberFormat="1" applyFont="1" applyBorder="1" applyAlignment="1">
      <alignment vertical="center"/>
    </xf>
    <xf numFmtId="0" fontId="14" fillId="35" borderId="14" xfId="0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vertical="center"/>
    </xf>
    <xf numFmtId="172" fontId="14" fillId="35" borderId="21" xfId="0" applyNumberFormat="1" applyFont="1" applyFill="1" applyBorder="1" applyAlignment="1">
      <alignment horizontal="right" vertical="center"/>
    </xf>
    <xf numFmtId="195" fontId="14" fillId="35" borderId="16" xfId="0" applyNumberFormat="1" applyFont="1" applyFill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172" fontId="19" fillId="0" borderId="20" xfId="0" applyNumberFormat="1" applyFont="1" applyBorder="1" applyAlignment="1">
      <alignment horizontal="right" vertical="center"/>
    </xf>
    <xf numFmtId="172" fontId="16" fillId="0" borderId="20" xfId="0" applyNumberFormat="1" applyFont="1" applyBorder="1" applyAlignment="1">
      <alignment horizontal="right" vertical="center"/>
    </xf>
    <xf numFmtId="195" fontId="16" fillId="0" borderId="23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" fontId="13" fillId="0" borderId="0" xfId="53" applyNumberFormat="1" applyFont="1" applyAlignment="1">
      <alignment horizontal="center" vertical="center"/>
      <protection/>
    </xf>
    <xf numFmtId="4" fontId="13" fillId="0" borderId="0" xfId="53" applyNumberFormat="1" applyFont="1" applyBorder="1" applyAlignment="1">
      <alignment horizontal="center" vertical="center"/>
      <protection/>
    </xf>
    <xf numFmtId="4" fontId="13" fillId="0" borderId="0" xfId="53" applyNumberFormat="1" applyFont="1" applyBorder="1" applyAlignment="1">
      <alignment horizontal="center" vertical="center"/>
      <protection/>
    </xf>
    <xf numFmtId="4" fontId="14" fillId="37" borderId="15" xfId="53" applyNumberFormat="1" applyFont="1" applyFill="1" applyBorder="1" applyAlignment="1">
      <alignment vertical="center"/>
      <protection/>
    </xf>
    <xf numFmtId="0" fontId="14" fillId="37" borderId="0" xfId="53" applyFont="1" applyFill="1" applyAlignment="1">
      <alignment vertical="center"/>
      <protection/>
    </xf>
    <xf numFmtId="164" fontId="13" fillId="0" borderId="20" xfId="0" applyNumberFormat="1" applyFont="1" applyFill="1" applyBorder="1" applyAlignment="1">
      <alignment vertical="top"/>
    </xf>
    <xf numFmtId="0" fontId="13" fillId="0" borderId="23" xfId="0" applyFont="1" applyFill="1" applyBorder="1" applyAlignment="1">
      <alignment horizontal="right" vertical="top"/>
    </xf>
    <xf numFmtId="4" fontId="13" fillId="37" borderId="0" xfId="0" applyNumberFormat="1" applyFont="1" applyFill="1" applyAlignment="1">
      <alignment/>
    </xf>
    <xf numFmtId="169" fontId="13" fillId="0" borderId="13" xfId="0" applyNumberFormat="1" applyFont="1" applyFill="1" applyBorder="1" applyAlignment="1">
      <alignment horizontal="right" vertical="top"/>
    </xf>
    <xf numFmtId="169" fontId="13" fillId="35" borderId="23" xfId="0" applyNumberFormat="1" applyFont="1" applyFill="1" applyBorder="1" applyAlignment="1">
      <alignment horizontal="right" vertical="top"/>
    </xf>
    <xf numFmtId="169" fontId="14" fillId="35" borderId="13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/>
    </xf>
    <xf numFmtId="169" fontId="16" fillId="0" borderId="23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172" fontId="23" fillId="0" borderId="20" xfId="0" applyNumberFormat="1" applyFont="1" applyBorder="1" applyAlignment="1">
      <alignment horizontal="right" vertical="center"/>
    </xf>
    <xf numFmtId="195" fontId="23" fillId="0" borderId="2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16" fillId="0" borderId="0" xfId="53" applyNumberFormat="1" applyFont="1" applyBorder="1" applyAlignment="1">
      <alignment horizontal="center" vertical="center"/>
      <protection/>
    </xf>
    <xf numFmtId="4" fontId="16" fillId="0" borderId="0" xfId="53" applyNumberFormat="1" applyFont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0" fillId="37" borderId="64" xfId="0" applyFill="1" applyBorder="1" applyAlignment="1">
      <alignment horizontal="center" vertical="center"/>
    </xf>
    <xf numFmtId="39" fontId="13" fillId="0" borderId="0" xfId="0" applyNumberFormat="1" applyFont="1" applyAlignment="1">
      <alignment vertical="center"/>
    </xf>
    <xf numFmtId="39" fontId="13" fillId="0" borderId="48" xfId="0" applyNumberFormat="1" applyFont="1" applyBorder="1" applyAlignment="1">
      <alignment vertical="center"/>
    </xf>
    <xf numFmtId="39" fontId="13" fillId="0" borderId="49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 wrapText="1"/>
    </xf>
    <xf numFmtId="49" fontId="16" fillId="0" borderId="22" xfId="0" applyNumberFormat="1" applyFont="1" applyBorder="1" applyAlignment="1">
      <alignment vertical="top" wrapText="1"/>
    </xf>
    <xf numFmtId="49" fontId="13" fillId="0" borderId="42" xfId="0" applyNumberFormat="1" applyFont="1" applyFill="1" applyBorder="1" applyAlignment="1">
      <alignment horizontal="left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13" fillId="39" borderId="0" xfId="0" applyFont="1" applyFill="1" applyAlignment="1">
      <alignment vertical="top"/>
    </xf>
    <xf numFmtId="4" fontId="14" fillId="35" borderId="16" xfId="56" applyNumberFormat="1" applyFont="1" applyFill="1" applyBorder="1" applyAlignment="1">
      <alignment vertical="center"/>
      <protection/>
    </xf>
    <xf numFmtId="49" fontId="13" fillId="0" borderId="40" xfId="0" applyNumberFormat="1" applyFont="1" applyFill="1" applyBorder="1" applyAlignment="1">
      <alignment vertical="center" wrapText="1"/>
    </xf>
    <xf numFmtId="4" fontId="13" fillId="0" borderId="40" xfId="0" applyNumberFormat="1" applyFont="1" applyFill="1" applyBorder="1" applyAlignment="1">
      <alignment vertical="center"/>
    </xf>
    <xf numFmtId="172" fontId="13" fillId="0" borderId="12" xfId="0" applyNumberFormat="1" applyFont="1" applyBorder="1" applyAlignment="1">
      <alignment horizontal="right" vertical="center"/>
    </xf>
    <xf numFmtId="195" fontId="16" fillId="0" borderId="13" xfId="0" applyNumberFormat="1" applyFont="1" applyBorder="1" applyAlignment="1">
      <alignment vertical="center"/>
    </xf>
    <xf numFmtId="0" fontId="14" fillId="35" borderId="46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vertical="center"/>
    </xf>
    <xf numFmtId="0" fontId="25" fillId="33" borderId="15" xfId="0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vertical="center"/>
    </xf>
    <xf numFmtId="4" fontId="14" fillId="0" borderId="28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3" fillId="0" borderId="68" xfId="53" applyFont="1" applyBorder="1" applyAlignment="1">
      <alignment horizontal="left" vertical="center" wrapText="1"/>
      <protection/>
    </xf>
    <xf numFmtId="4" fontId="13" fillId="0" borderId="68" xfId="53" applyNumberFormat="1" applyFont="1" applyBorder="1" applyAlignment="1">
      <alignment horizontal="right" vertical="center"/>
      <protection/>
    </xf>
    <xf numFmtId="169" fontId="13" fillId="0" borderId="68" xfId="53" applyNumberFormat="1" applyFont="1" applyBorder="1" applyAlignment="1">
      <alignment vertical="center"/>
      <protection/>
    </xf>
    <xf numFmtId="4" fontId="13" fillId="0" borderId="72" xfId="53" applyNumberFormat="1" applyFont="1" applyBorder="1" applyAlignment="1">
      <alignment horizontal="right" vertical="center"/>
      <protection/>
    </xf>
    <xf numFmtId="169" fontId="13" fillId="0" borderId="72" xfId="53" applyNumberFormat="1" applyFont="1" applyBorder="1" applyAlignment="1">
      <alignment vertical="center"/>
      <protection/>
    </xf>
    <xf numFmtId="4" fontId="16" fillId="0" borderId="22" xfId="53" applyNumberFormat="1" applyFont="1" applyBorder="1" applyAlignment="1">
      <alignment horizontal="right" vertical="center"/>
      <protection/>
    </xf>
    <xf numFmtId="169" fontId="16" fillId="0" borderId="22" xfId="53" applyNumberFormat="1" applyFont="1" applyBorder="1" applyAlignment="1">
      <alignment vertical="center"/>
      <protection/>
    </xf>
    <xf numFmtId="0" fontId="16" fillId="0" borderId="22" xfId="53" applyFont="1" applyBorder="1" applyAlignment="1">
      <alignment horizontal="right" vertical="center"/>
      <protection/>
    </xf>
    <xf numFmtId="0" fontId="16" fillId="0" borderId="72" xfId="0" applyFont="1" applyBorder="1" applyAlignment="1">
      <alignment horizontal="right"/>
    </xf>
    <xf numFmtId="4" fontId="16" fillId="0" borderId="72" xfId="53" applyNumberFormat="1" applyFont="1" applyBorder="1" applyAlignment="1">
      <alignment horizontal="right" vertical="center"/>
      <protection/>
    </xf>
    <xf numFmtId="169" fontId="16" fillId="0" borderId="72" xfId="53" applyNumberFormat="1" applyFont="1" applyBorder="1" applyAlignment="1">
      <alignment vertical="center"/>
      <protection/>
    </xf>
    <xf numFmtId="4" fontId="16" fillId="0" borderId="22" xfId="53" applyNumberFormat="1" applyFont="1" applyBorder="1" applyAlignment="1">
      <alignment horizontal="right" vertical="center"/>
      <protection/>
    </xf>
    <xf numFmtId="4" fontId="16" fillId="0" borderId="22" xfId="53" applyNumberFormat="1" applyFont="1" applyFill="1" applyBorder="1" applyAlignment="1">
      <alignment horizontal="right" vertical="center"/>
      <protection/>
    </xf>
    <xf numFmtId="0" fontId="13" fillId="0" borderId="68" xfId="53" applyFont="1" applyBorder="1" applyAlignment="1">
      <alignment vertical="center" wrapText="1"/>
      <protection/>
    </xf>
    <xf numFmtId="4" fontId="13" fillId="0" borderId="68" xfId="53" applyNumberFormat="1" applyFont="1" applyFill="1" applyBorder="1" applyAlignment="1">
      <alignment horizontal="right" vertical="center"/>
      <protection/>
    </xf>
    <xf numFmtId="0" fontId="13" fillId="0" borderId="68" xfId="0" applyFont="1" applyBorder="1" applyAlignment="1">
      <alignment vertical="center"/>
    </xf>
    <xf numFmtId="4" fontId="13" fillId="0" borderId="68" xfId="53" applyNumberFormat="1" applyFont="1" applyBorder="1" applyAlignment="1">
      <alignment horizontal="right" vertical="center"/>
      <protection/>
    </xf>
    <xf numFmtId="0" fontId="16" fillId="0" borderId="76" xfId="0" applyFont="1" applyBorder="1" applyAlignment="1">
      <alignment horizontal="right"/>
    </xf>
    <xf numFmtId="4" fontId="16" fillId="0" borderId="76" xfId="53" applyNumberFormat="1" applyFont="1" applyBorder="1" applyAlignment="1">
      <alignment horizontal="right" vertical="center"/>
      <protection/>
    </xf>
    <xf numFmtId="169" fontId="16" fillId="0" borderId="76" xfId="53" applyNumberFormat="1" applyFont="1" applyBorder="1" applyAlignment="1">
      <alignment vertical="center"/>
      <protection/>
    </xf>
    <xf numFmtId="4" fontId="16" fillId="0" borderId="76" xfId="53" applyNumberFormat="1" applyFont="1" applyFill="1" applyBorder="1" applyAlignment="1">
      <alignment horizontal="right" vertical="center"/>
      <protection/>
    </xf>
    <xf numFmtId="169" fontId="13" fillId="0" borderId="22" xfId="53" applyNumberFormat="1" applyFont="1" applyBorder="1" applyAlignment="1">
      <alignment vertical="center"/>
      <protection/>
    </xf>
    <xf numFmtId="169" fontId="16" fillId="0" borderId="22" xfId="53" applyNumberFormat="1" applyFont="1" applyFill="1" applyBorder="1" applyAlignment="1">
      <alignment vertical="center"/>
      <protection/>
    </xf>
    <xf numFmtId="169" fontId="13" fillId="0" borderId="76" xfId="53" applyNumberFormat="1" applyFont="1" applyBorder="1" applyAlignment="1">
      <alignment vertical="center"/>
      <protection/>
    </xf>
    <xf numFmtId="0" fontId="13" fillId="0" borderId="68" xfId="0" applyFont="1" applyBorder="1" applyAlignment="1">
      <alignment vertical="center" wrapText="1"/>
    </xf>
    <xf numFmtId="49" fontId="13" fillId="0" borderId="68" xfId="0" applyNumberFormat="1" applyFont="1" applyBorder="1" applyAlignment="1">
      <alignment vertical="center" wrapText="1"/>
    </xf>
    <xf numFmtId="169" fontId="16" fillId="0" borderId="76" xfId="53" applyNumberFormat="1" applyFont="1" applyFill="1" applyBorder="1" applyAlignment="1">
      <alignment vertical="center"/>
      <protection/>
    </xf>
    <xf numFmtId="0" fontId="13" fillId="0" borderId="68" xfId="53" applyFont="1" applyBorder="1" applyAlignment="1">
      <alignment horizontal="left" vertical="center"/>
      <protection/>
    </xf>
    <xf numFmtId="169" fontId="16" fillId="0" borderId="22" xfId="53" applyNumberFormat="1" applyFont="1" applyBorder="1" applyAlignment="1">
      <alignment horizontal="right" vertical="center"/>
      <protection/>
    </xf>
    <xf numFmtId="4" fontId="16" fillId="0" borderId="72" xfId="53" applyNumberFormat="1" applyFont="1" applyBorder="1" applyAlignment="1">
      <alignment horizontal="right" vertical="center"/>
      <protection/>
    </xf>
    <xf numFmtId="4" fontId="14" fillId="35" borderId="16" xfId="0" applyNumberFormat="1" applyFont="1" applyFill="1" applyBorder="1" applyAlignment="1">
      <alignment horizontal="right" vertical="center"/>
    </xf>
    <xf numFmtId="0" fontId="14" fillId="35" borderId="40" xfId="0" applyFont="1" applyFill="1" applyBorder="1" applyAlignment="1">
      <alignment vertical="center"/>
    </xf>
    <xf numFmtId="0" fontId="14" fillId="35" borderId="40" xfId="0" applyFont="1" applyFill="1" applyBorder="1" applyAlignment="1">
      <alignment vertical="center" wrapText="1"/>
    </xf>
    <xf numFmtId="174" fontId="14" fillId="35" borderId="13" xfId="0" applyNumberFormat="1" applyFont="1" applyFill="1" applyBorder="1" applyAlignment="1">
      <alignment horizontal="center" vertical="center"/>
    </xf>
    <xf numFmtId="174" fontId="14" fillId="35" borderId="16" xfId="0" applyNumberFormat="1" applyFont="1" applyFill="1" applyBorder="1" applyAlignment="1">
      <alignment vertical="center"/>
    </xf>
    <xf numFmtId="0" fontId="14" fillId="35" borderId="39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vertical="center"/>
    </xf>
    <xf numFmtId="4" fontId="14" fillId="35" borderId="24" xfId="0" applyNumberFormat="1" applyFont="1" applyFill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174" fontId="13" fillId="0" borderId="25" xfId="0" applyNumberFormat="1" applyFont="1" applyBorder="1" applyAlignment="1">
      <alignment horizontal="right" vertical="center"/>
    </xf>
    <xf numFmtId="43" fontId="13" fillId="0" borderId="20" xfId="42" applyFont="1" applyBorder="1" applyAlignment="1">
      <alignment horizontal="right" vertical="center" wrapText="1"/>
    </xf>
    <xf numFmtId="0" fontId="34" fillId="38" borderId="15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" fontId="16" fillId="38" borderId="10" xfId="0" applyNumberFormat="1" applyFont="1" applyFill="1" applyBorder="1" applyAlignment="1">
      <alignment vertical="center"/>
    </xf>
    <xf numFmtId="4" fontId="5" fillId="38" borderId="10" xfId="0" applyNumberFormat="1" applyFont="1" applyFill="1" applyBorder="1" applyAlignment="1">
      <alignment vertical="center"/>
    </xf>
    <xf numFmtId="4" fontId="16" fillId="38" borderId="22" xfId="53" applyNumberFormat="1" applyFont="1" applyFill="1" applyBorder="1" applyAlignment="1">
      <alignment horizontal="right" vertical="center"/>
      <protection/>
    </xf>
    <xf numFmtId="4" fontId="13" fillId="38" borderId="68" xfId="53" applyNumberFormat="1" applyFont="1" applyFill="1" applyBorder="1" applyAlignment="1">
      <alignment horizontal="right" vertical="center"/>
      <protection/>
    </xf>
    <xf numFmtId="4" fontId="16" fillId="38" borderId="76" xfId="53" applyNumberFormat="1" applyFont="1" applyFill="1" applyBorder="1" applyAlignment="1">
      <alignment horizontal="right" vertical="center"/>
      <protection/>
    </xf>
    <xf numFmtId="49" fontId="37" fillId="0" borderId="1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vertical="center"/>
    </xf>
    <xf numFmtId="169" fontId="50" fillId="0" borderId="17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/>
    </xf>
    <xf numFmtId="169" fontId="51" fillId="0" borderId="17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/>
    </xf>
    <xf numFmtId="169" fontId="52" fillId="0" borderId="17" xfId="0" applyNumberFormat="1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/>
    </xf>
    <xf numFmtId="169" fontId="46" fillId="0" borderId="17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9" fontId="5" fillId="0" borderId="17" xfId="0" applyNumberFormat="1" applyFont="1" applyBorder="1" applyAlignment="1">
      <alignment vertical="center"/>
    </xf>
    <xf numFmtId="49" fontId="24" fillId="0" borderId="15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3" fillId="38" borderId="22" xfId="0" applyFont="1" applyFill="1" applyBorder="1" applyAlignment="1">
      <alignment horizontal="center" vertical="center"/>
    </xf>
    <xf numFmtId="49" fontId="13" fillId="0" borderId="59" xfId="0" applyNumberFormat="1" applyFont="1" applyBorder="1" applyAlignment="1">
      <alignment vertical="center" wrapText="1"/>
    </xf>
    <xf numFmtId="0" fontId="13" fillId="38" borderId="15" xfId="0" applyFont="1" applyFill="1" applyBorder="1" applyAlignment="1">
      <alignment vertical="center" wrapText="1"/>
    </xf>
    <xf numFmtId="0" fontId="13" fillId="38" borderId="15" xfId="0" applyFont="1" applyFill="1" applyBorder="1" applyAlignment="1">
      <alignment vertical="center"/>
    </xf>
    <xf numFmtId="0" fontId="13" fillId="38" borderId="22" xfId="0" applyFont="1" applyFill="1" applyBorder="1" applyAlignment="1">
      <alignment vertical="center" wrapText="1"/>
    </xf>
    <xf numFmtId="0" fontId="13" fillId="38" borderId="22" xfId="0" applyFont="1" applyFill="1" applyBorder="1" applyAlignment="1">
      <alignment vertical="center"/>
    </xf>
    <xf numFmtId="49" fontId="16" fillId="38" borderId="10" xfId="0" applyNumberFormat="1" applyFont="1" applyFill="1" applyBorder="1" applyAlignment="1">
      <alignment horizontal="center" vertical="top"/>
    </xf>
    <xf numFmtId="49" fontId="16" fillId="38" borderId="10" xfId="0" applyNumberFormat="1" applyFont="1" applyFill="1" applyBorder="1" applyAlignment="1">
      <alignment vertical="top" wrapText="1"/>
    </xf>
    <xf numFmtId="4" fontId="16" fillId="38" borderId="10" xfId="0" applyNumberFormat="1" applyFont="1" applyFill="1" applyBorder="1" applyAlignment="1">
      <alignment vertical="top"/>
    </xf>
    <xf numFmtId="0" fontId="13" fillId="38" borderId="68" xfId="53" applyFont="1" applyFill="1" applyBorder="1" applyAlignment="1">
      <alignment vertical="center" wrapText="1"/>
      <protection/>
    </xf>
    <xf numFmtId="4" fontId="13" fillId="38" borderId="68" xfId="53" applyNumberFormat="1" applyFont="1" applyFill="1" applyBorder="1" applyAlignment="1">
      <alignment horizontal="right" vertical="center"/>
      <protection/>
    </xf>
    <xf numFmtId="169" fontId="13" fillId="38" borderId="68" xfId="53" applyNumberFormat="1" applyFont="1" applyFill="1" applyBorder="1" applyAlignment="1">
      <alignment vertical="center"/>
      <protection/>
    </xf>
    <xf numFmtId="0" fontId="16" fillId="38" borderId="76" xfId="0" applyFont="1" applyFill="1" applyBorder="1" applyAlignment="1">
      <alignment horizontal="right"/>
    </xf>
    <xf numFmtId="0" fontId="16" fillId="38" borderId="22" xfId="53" applyFont="1" applyFill="1" applyBorder="1" applyAlignment="1">
      <alignment horizontal="right" vertical="center"/>
      <protection/>
    </xf>
    <xf numFmtId="169" fontId="16" fillId="38" borderId="22" xfId="53" applyNumberFormat="1" applyFont="1" applyFill="1" applyBorder="1" applyAlignment="1">
      <alignment vertical="center"/>
      <protection/>
    </xf>
    <xf numFmtId="0" fontId="13" fillId="38" borderId="68" xfId="53" applyFont="1" applyFill="1" applyBorder="1" applyAlignment="1">
      <alignment horizontal="left" vertical="center" wrapText="1"/>
      <protection/>
    </xf>
    <xf numFmtId="0" fontId="13" fillId="38" borderId="1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61" xfId="0" applyFont="1" applyBorder="1" applyAlignment="1">
      <alignment horizontal="center" vertical="center"/>
    </xf>
    <xf numFmtId="169" fontId="14" fillId="37" borderId="13" xfId="0" applyNumberFormat="1" applyFont="1" applyFill="1" applyBorder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vertical="center" wrapText="1"/>
    </xf>
    <xf numFmtId="174" fontId="14" fillId="35" borderId="15" xfId="0" applyNumberFormat="1" applyFont="1" applyFill="1" applyBorder="1" applyAlignment="1">
      <alignment horizontal="center" vertical="center"/>
    </xf>
    <xf numFmtId="4" fontId="13" fillId="0" borderId="61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4" fontId="16" fillId="38" borderId="10" xfId="0" applyNumberFormat="1" applyFont="1" applyFill="1" applyBorder="1" applyAlignment="1">
      <alignment horizontal="right" vertical="top"/>
    </xf>
    <xf numFmtId="49" fontId="13" fillId="38" borderId="10" xfId="0" applyNumberFormat="1" applyFont="1" applyFill="1" applyBorder="1" applyAlignment="1">
      <alignment vertical="center" wrapText="1"/>
    </xf>
    <xf numFmtId="4" fontId="13" fillId="38" borderId="10" xfId="0" applyNumberFormat="1" applyFont="1" applyFill="1" applyBorder="1" applyAlignment="1">
      <alignment vertical="center"/>
    </xf>
    <xf numFmtId="172" fontId="13" fillId="38" borderId="0" xfId="0" applyNumberFormat="1" applyFont="1" applyFill="1" applyBorder="1" applyAlignment="1">
      <alignment horizontal="right" vertical="center"/>
    </xf>
    <xf numFmtId="195" fontId="13" fillId="38" borderId="23" xfId="0" applyNumberFormat="1" applyFont="1" applyFill="1" applyBorder="1" applyAlignment="1">
      <alignment vertical="center"/>
    </xf>
    <xf numFmtId="49" fontId="13" fillId="38" borderId="0" xfId="0" applyNumberFormat="1" applyFont="1" applyFill="1" applyBorder="1" applyAlignment="1">
      <alignment vertical="center" wrapText="1"/>
    </xf>
    <xf numFmtId="49" fontId="19" fillId="38" borderId="0" xfId="0" applyNumberFormat="1" applyFont="1" applyFill="1" applyBorder="1" applyAlignment="1">
      <alignment vertical="center" wrapText="1"/>
    </xf>
    <xf numFmtId="4" fontId="19" fillId="38" borderId="10" xfId="0" applyNumberFormat="1" applyFont="1" applyFill="1" applyBorder="1" applyAlignment="1">
      <alignment vertical="center"/>
    </xf>
    <xf numFmtId="172" fontId="19" fillId="38" borderId="10" xfId="0" applyNumberFormat="1" applyFont="1" applyFill="1" applyBorder="1" applyAlignment="1">
      <alignment horizontal="right" vertical="center"/>
    </xf>
    <xf numFmtId="195" fontId="19" fillId="38" borderId="23" xfId="0" applyNumberFormat="1" applyFont="1" applyFill="1" applyBorder="1" applyAlignment="1">
      <alignment vertical="center"/>
    </xf>
    <xf numFmtId="172" fontId="13" fillId="38" borderId="10" xfId="0" applyNumberFormat="1" applyFont="1" applyFill="1" applyBorder="1" applyAlignment="1">
      <alignment horizontal="right" vertical="center"/>
    </xf>
    <xf numFmtId="4" fontId="13" fillId="38" borderId="20" xfId="0" applyNumberFormat="1" applyFont="1" applyFill="1" applyBorder="1" applyAlignment="1">
      <alignment vertical="center"/>
    </xf>
    <xf numFmtId="4" fontId="16" fillId="38" borderId="20" xfId="0" applyNumberFormat="1" applyFont="1" applyFill="1" applyBorder="1" applyAlignment="1">
      <alignment horizontal="right" vertical="center"/>
    </xf>
    <xf numFmtId="169" fontId="16" fillId="0" borderId="76" xfId="53" applyNumberFormat="1" applyFont="1" applyBorder="1" applyAlignment="1">
      <alignment horizontal="right" vertical="center"/>
      <protection/>
    </xf>
    <xf numFmtId="4" fontId="13" fillId="0" borderId="20" xfId="0" applyNumberFormat="1" applyFont="1" applyBorder="1" applyAlignment="1" applyProtection="1">
      <alignment horizontal="right"/>
      <protection hidden="1"/>
    </xf>
    <xf numFmtId="174" fontId="13" fillId="0" borderId="61" xfId="0" applyNumberFormat="1" applyFont="1" applyBorder="1" applyAlignment="1">
      <alignment vertical="center"/>
    </xf>
    <xf numFmtId="174" fontId="13" fillId="0" borderId="10" xfId="0" applyNumberFormat="1" applyFont="1" applyBorder="1" applyAlignment="1">
      <alignment vertical="center"/>
    </xf>
    <xf numFmtId="174" fontId="13" fillId="0" borderId="22" xfId="0" applyNumberFormat="1" applyFont="1" applyBorder="1" applyAlignment="1">
      <alignment vertical="center"/>
    </xf>
    <xf numFmtId="169" fontId="16" fillId="38" borderId="76" xfId="53" applyNumberFormat="1" applyFont="1" applyFill="1" applyBorder="1" applyAlignment="1">
      <alignment horizontal="center" vertical="center"/>
      <protection/>
    </xf>
    <xf numFmtId="169" fontId="16" fillId="0" borderId="22" xfId="53" applyNumberFormat="1" applyFont="1" applyBorder="1" applyAlignment="1">
      <alignment horizontal="center" vertical="center"/>
      <protection/>
    </xf>
    <xf numFmtId="4" fontId="16" fillId="38" borderId="10" xfId="0" applyNumberFormat="1" applyFont="1" applyFill="1" applyBorder="1" applyAlignment="1">
      <alignment vertical="center"/>
    </xf>
    <xf numFmtId="4" fontId="16" fillId="38" borderId="10" xfId="0" applyNumberFormat="1" applyFont="1" applyFill="1" applyBorder="1" applyAlignment="1" applyProtection="1">
      <alignment/>
      <protection hidden="1"/>
    </xf>
    <xf numFmtId="4" fontId="16" fillId="38" borderId="20" xfId="0" applyNumberFormat="1" applyFont="1" applyFill="1" applyBorder="1" applyAlignment="1" applyProtection="1">
      <alignment/>
      <protection hidden="1"/>
    </xf>
    <xf numFmtId="169" fontId="16" fillId="38" borderId="23" xfId="0" applyNumberFormat="1" applyFont="1" applyFill="1" applyBorder="1" applyAlignment="1" applyProtection="1">
      <alignment/>
      <protection hidden="1"/>
    </xf>
    <xf numFmtId="4" fontId="13" fillId="0" borderId="0" xfId="56" applyNumberFormat="1" applyFont="1" applyAlignment="1">
      <alignment horizontal="center" vertical="center"/>
      <protection/>
    </xf>
    <xf numFmtId="0" fontId="14" fillId="0" borderId="0" xfId="56" applyFont="1" applyAlignment="1">
      <alignment horizontal="center" vertical="center" wrapText="1"/>
      <protection/>
    </xf>
    <xf numFmtId="4" fontId="14" fillId="35" borderId="21" xfId="56" applyNumberFormat="1" applyFont="1" applyFill="1" applyBorder="1" applyAlignment="1">
      <alignment horizontal="center" vertical="center"/>
      <protection/>
    </xf>
    <xf numFmtId="4" fontId="14" fillId="35" borderId="64" xfId="56" applyNumberFormat="1" applyFont="1" applyFill="1" applyBorder="1" applyAlignment="1">
      <alignment horizontal="center" vertical="center"/>
      <protection/>
    </xf>
    <xf numFmtId="4" fontId="14" fillId="37" borderId="29" xfId="56" applyNumberFormat="1" applyFont="1" applyFill="1" applyBorder="1" applyAlignment="1">
      <alignment horizontal="center" vertical="center"/>
      <protection/>
    </xf>
    <xf numFmtId="4" fontId="14" fillId="37" borderId="65" xfId="56" applyNumberFormat="1" applyFont="1" applyFill="1" applyBorder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14" fillId="36" borderId="41" xfId="56" applyFont="1" applyFill="1" applyBorder="1" applyAlignment="1">
      <alignment horizontal="center" vertical="center" wrapText="1"/>
      <protection/>
    </xf>
    <xf numFmtId="0" fontId="14" fillId="36" borderId="83" xfId="56" applyFont="1" applyFill="1" applyBorder="1" applyAlignment="1">
      <alignment horizontal="center" vertical="center" wrapText="1"/>
      <protection/>
    </xf>
    <xf numFmtId="4" fontId="14" fillId="35" borderId="84" xfId="56" applyNumberFormat="1" applyFont="1" applyFill="1" applyBorder="1" applyAlignment="1">
      <alignment horizontal="center" vertical="center"/>
      <protection/>
    </xf>
    <xf numFmtId="4" fontId="14" fillId="37" borderId="85" xfId="56" applyNumberFormat="1" applyFont="1" applyFill="1" applyBorder="1" applyAlignment="1">
      <alignment horizontal="center" vertical="center"/>
      <protection/>
    </xf>
    <xf numFmtId="0" fontId="14" fillId="37" borderId="82" xfId="56" applyFont="1" applyFill="1" applyBorder="1" applyAlignment="1">
      <alignment horizontal="center" vertical="center"/>
      <protection/>
    </xf>
    <xf numFmtId="0" fontId="14" fillId="37" borderId="65" xfId="56" applyFont="1" applyFill="1" applyBorder="1" applyAlignment="1">
      <alignment horizontal="center" vertical="center"/>
      <protection/>
    </xf>
    <xf numFmtId="0" fontId="14" fillId="35" borderId="26" xfId="56" applyFont="1" applyFill="1" applyBorder="1" applyAlignment="1">
      <alignment horizontal="center" vertical="center"/>
      <protection/>
    </xf>
    <xf numFmtId="0" fontId="14" fillId="35" borderId="64" xfId="56" applyFont="1" applyFill="1" applyBorder="1" applyAlignment="1">
      <alignment horizontal="center" vertical="center"/>
      <protection/>
    </xf>
    <xf numFmtId="0" fontId="14" fillId="36" borderId="53" xfId="56" applyFont="1" applyFill="1" applyBorder="1" applyAlignment="1">
      <alignment horizontal="center" vertical="center" wrapText="1"/>
      <protection/>
    </xf>
    <xf numFmtId="0" fontId="14" fillId="36" borderId="36" xfId="56" applyFont="1" applyFill="1" applyBorder="1" applyAlignment="1">
      <alignment horizontal="center" vertical="center" wrapText="1"/>
      <protection/>
    </xf>
    <xf numFmtId="0" fontId="14" fillId="36" borderId="54" xfId="56" applyFont="1" applyFill="1" applyBorder="1" applyAlignment="1">
      <alignment horizontal="center" vertical="center" wrapText="1"/>
      <protection/>
    </xf>
    <xf numFmtId="0" fontId="14" fillId="36" borderId="22" xfId="56" applyFont="1" applyFill="1" applyBorder="1" applyAlignment="1">
      <alignment horizontal="center" vertical="center" wrapText="1"/>
      <protection/>
    </xf>
    <xf numFmtId="0" fontId="14" fillId="36" borderId="86" xfId="56" applyFont="1" applyFill="1" applyBorder="1" applyAlignment="1">
      <alignment horizontal="center" vertical="center" wrapText="1"/>
      <protection/>
    </xf>
    <xf numFmtId="0" fontId="14" fillId="35" borderId="14" xfId="56" applyFont="1" applyFill="1" applyBorder="1" applyAlignment="1">
      <alignment horizontal="center" vertical="center"/>
      <protection/>
    </xf>
    <xf numFmtId="0" fontId="14" fillId="35" borderId="15" xfId="56" applyFont="1" applyFill="1" applyBorder="1" applyAlignment="1">
      <alignment horizontal="center" vertical="center"/>
      <protection/>
    </xf>
    <xf numFmtId="0" fontId="14" fillId="37" borderId="14" xfId="56" applyFont="1" applyFill="1" applyBorder="1" applyAlignment="1">
      <alignment horizontal="center" vertical="center"/>
      <protection/>
    </xf>
    <xf numFmtId="0" fontId="14" fillId="37" borderId="15" xfId="56" applyFont="1" applyFill="1" applyBorder="1" applyAlignment="1">
      <alignment horizontal="center" vertical="center"/>
      <protection/>
    </xf>
    <xf numFmtId="0" fontId="14" fillId="33" borderId="41" xfId="56" applyFont="1" applyFill="1" applyBorder="1" applyAlignment="1">
      <alignment horizontal="center" vertical="center" wrapText="1"/>
      <protection/>
    </xf>
    <xf numFmtId="0" fontId="14" fillId="33" borderId="83" xfId="56" applyFont="1" applyFill="1" applyBorder="1" applyAlignment="1">
      <alignment horizontal="center" vertical="center" wrapText="1"/>
      <protection/>
    </xf>
    <xf numFmtId="0" fontId="14" fillId="33" borderId="86" xfId="56" applyFont="1" applyFill="1" applyBorder="1" applyAlignment="1">
      <alignment horizontal="center" vertical="center" wrapText="1"/>
      <protection/>
    </xf>
    <xf numFmtId="4" fontId="14" fillId="37" borderId="21" xfId="56" applyNumberFormat="1" applyFont="1" applyFill="1" applyBorder="1" applyAlignment="1">
      <alignment horizontal="center" vertical="center"/>
      <protection/>
    </xf>
    <xf numFmtId="4" fontId="14" fillId="37" borderId="64" xfId="56" applyNumberFormat="1" applyFont="1" applyFill="1" applyBorder="1" applyAlignment="1">
      <alignment horizontal="center" vertical="center"/>
      <protection/>
    </xf>
    <xf numFmtId="4" fontId="14" fillId="37" borderId="84" xfId="56" applyNumberFormat="1" applyFont="1" applyFill="1" applyBorder="1" applyAlignment="1">
      <alignment horizontal="center" vertical="center"/>
      <protection/>
    </xf>
    <xf numFmtId="0" fontId="14" fillId="33" borderId="54" xfId="56" applyFont="1" applyFill="1" applyBorder="1" applyAlignment="1">
      <alignment horizontal="center" vertical="center" wrapText="1"/>
      <protection/>
    </xf>
    <xf numFmtId="0" fontId="14" fillId="33" borderId="22" xfId="56" applyFont="1" applyFill="1" applyBorder="1" applyAlignment="1">
      <alignment horizontal="center" vertical="center" wrapText="1"/>
      <protection/>
    </xf>
    <xf numFmtId="0" fontId="14" fillId="37" borderId="27" xfId="56" applyFont="1" applyFill="1" applyBorder="1" applyAlignment="1">
      <alignment horizontal="center" vertical="center"/>
      <protection/>
    </xf>
    <xf numFmtId="0" fontId="14" fillId="37" borderId="28" xfId="56" applyFont="1" applyFill="1" applyBorder="1" applyAlignment="1">
      <alignment horizontal="center" vertical="center"/>
      <protection/>
    </xf>
    <xf numFmtId="0" fontId="14" fillId="33" borderId="53" xfId="56" applyFont="1" applyFill="1" applyBorder="1" applyAlignment="1">
      <alignment horizontal="center" vertical="center" wrapText="1"/>
      <protection/>
    </xf>
    <xf numFmtId="0" fontId="14" fillId="33" borderId="36" xfId="56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33" borderId="41" xfId="0" applyFont="1" applyFill="1" applyBorder="1" applyAlignment="1">
      <alignment vertical="center"/>
    </xf>
    <xf numFmtId="0" fontId="14" fillId="33" borderId="86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/>
    </xf>
    <xf numFmtId="49" fontId="14" fillId="33" borderId="87" xfId="0" applyNumberFormat="1" applyFont="1" applyFill="1" applyBorder="1" applyAlignment="1">
      <alignment horizontal="center" vertical="center"/>
    </xf>
    <xf numFmtId="49" fontId="14" fillId="33" borderId="39" xfId="0" applyNumberFormat="1" applyFont="1" applyFill="1" applyBorder="1" applyAlignment="1">
      <alignment horizontal="center" vertical="center"/>
    </xf>
    <xf numFmtId="0" fontId="14" fillId="33" borderId="88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8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35" borderId="41" xfId="0" applyFont="1" applyFill="1" applyBorder="1" applyAlignment="1">
      <alignment horizontal="center" vertical="center"/>
    </xf>
    <xf numFmtId="0" fontId="14" fillId="35" borderId="86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49" fontId="14" fillId="37" borderId="89" xfId="0" applyNumberFormat="1" applyFont="1" applyFill="1" applyBorder="1" applyAlignment="1">
      <alignment horizontal="center" vertical="center"/>
    </xf>
    <xf numFmtId="49" fontId="14" fillId="37" borderId="90" xfId="0" applyNumberFormat="1" applyFont="1" applyFill="1" applyBorder="1" applyAlignment="1">
      <alignment horizontal="center" vertical="center"/>
    </xf>
    <xf numFmtId="49" fontId="14" fillId="37" borderId="91" xfId="0" applyNumberFormat="1" applyFont="1" applyFill="1" applyBorder="1" applyAlignment="1">
      <alignment horizontal="center" vertical="center"/>
    </xf>
    <xf numFmtId="49" fontId="14" fillId="35" borderId="39" xfId="0" applyNumberFormat="1" applyFont="1" applyFill="1" applyBorder="1" applyAlignment="1">
      <alignment horizontal="center" vertical="center"/>
    </xf>
    <xf numFmtId="49" fontId="14" fillId="35" borderId="48" xfId="0" applyNumberFormat="1" applyFont="1" applyFill="1" applyBorder="1" applyAlignment="1">
      <alignment horizontal="center" vertical="center"/>
    </xf>
    <xf numFmtId="49" fontId="14" fillId="35" borderId="56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top"/>
    </xf>
    <xf numFmtId="169" fontId="16" fillId="0" borderId="23" xfId="0" applyNumberFormat="1" applyFont="1" applyFill="1" applyBorder="1" applyAlignment="1">
      <alignment horizontal="right" vertical="top"/>
    </xf>
    <xf numFmtId="49" fontId="14" fillId="35" borderId="35" xfId="0" applyNumberFormat="1" applyFont="1" applyFill="1" applyBorder="1" applyAlignment="1">
      <alignment horizontal="center" vertical="center"/>
    </xf>
    <xf numFmtId="49" fontId="14" fillId="35" borderId="33" xfId="0" applyNumberFormat="1" applyFont="1" applyFill="1" applyBorder="1" applyAlignment="1">
      <alignment horizontal="center" vertical="center"/>
    </xf>
    <xf numFmtId="49" fontId="14" fillId="35" borderId="8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4" fillId="35" borderId="26" xfId="0" applyNumberFormat="1" applyFont="1" applyFill="1" applyBorder="1" applyAlignment="1">
      <alignment horizontal="center" vertical="center"/>
    </xf>
    <xf numFmtId="49" fontId="14" fillId="35" borderId="79" xfId="0" applyNumberFormat="1" applyFont="1" applyFill="1" applyBorder="1" applyAlignment="1">
      <alignment horizontal="center" vertical="center"/>
    </xf>
    <xf numFmtId="49" fontId="14" fillId="35" borderId="64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49" fontId="14" fillId="35" borderId="36" xfId="0" applyNumberFormat="1" applyFont="1" applyFill="1" applyBorder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left" vertical="center"/>
    </xf>
    <xf numFmtId="0" fontId="17" fillId="37" borderId="48" xfId="0" applyFont="1" applyFill="1" applyBorder="1" applyAlignment="1">
      <alignment horizontal="left" vertical="center"/>
    </xf>
    <xf numFmtId="0" fontId="17" fillId="37" borderId="56" xfId="0" applyFont="1" applyFill="1" applyBorder="1" applyAlignment="1">
      <alignment horizontal="left" vertical="center"/>
    </xf>
    <xf numFmtId="0" fontId="14" fillId="35" borderId="46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14" fillId="35" borderId="9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86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wrapText="1"/>
    </xf>
    <xf numFmtId="0" fontId="14" fillId="0" borderId="47" xfId="0" applyFont="1" applyBorder="1" applyAlignment="1">
      <alignment horizontal="left"/>
    </xf>
    <xf numFmtId="0" fontId="14" fillId="0" borderId="3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3" fillId="0" borderId="93" xfId="0" applyFont="1" applyFill="1" applyBorder="1" applyAlignment="1">
      <alignment horizontal="left" vertical="center" wrapText="1"/>
    </xf>
    <xf numFmtId="0" fontId="17" fillId="37" borderId="94" xfId="0" applyFont="1" applyFill="1" applyBorder="1" applyAlignment="1">
      <alignment horizontal="left" vertical="center"/>
    </xf>
    <xf numFmtId="0" fontId="17" fillId="37" borderId="49" xfId="0" applyFont="1" applyFill="1" applyBorder="1" applyAlignment="1">
      <alignment horizontal="left" vertical="center"/>
    </xf>
    <xf numFmtId="0" fontId="17" fillId="37" borderId="95" xfId="0" applyFont="1" applyFill="1" applyBorder="1" applyAlignment="1">
      <alignment horizontal="left" vertical="center"/>
    </xf>
    <xf numFmtId="0" fontId="14" fillId="37" borderId="46" xfId="0" applyFont="1" applyFill="1" applyBorder="1" applyAlignment="1">
      <alignment horizontal="left" vertical="center"/>
    </xf>
    <xf numFmtId="0" fontId="14" fillId="37" borderId="47" xfId="0" applyFont="1" applyFill="1" applyBorder="1" applyAlignment="1">
      <alignment horizontal="left" vertical="center"/>
    </xf>
    <xf numFmtId="0" fontId="14" fillId="37" borderId="92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4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3" fillId="0" borderId="93" xfId="0" applyNumberFormat="1" applyFont="1" applyFill="1" applyBorder="1" applyAlignment="1">
      <alignment horizontal="left" vertical="center" wrapText="1"/>
    </xf>
    <xf numFmtId="49" fontId="14" fillId="37" borderId="11" xfId="0" applyNumberFormat="1" applyFont="1" applyFill="1" applyBorder="1" applyAlignment="1">
      <alignment horizontal="center" vertical="center"/>
    </xf>
    <xf numFmtId="49" fontId="14" fillId="37" borderId="4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49" fontId="14" fillId="33" borderId="31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9" fontId="25" fillId="33" borderId="86" xfId="0" applyNumberFormat="1" applyFont="1" applyFill="1" applyBorder="1" applyAlignment="1">
      <alignment horizontal="center" vertical="center"/>
    </xf>
    <xf numFmtId="49" fontId="25" fillId="33" borderId="64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96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  <xf numFmtId="0" fontId="13" fillId="38" borderId="15" xfId="53" applyFont="1" applyFill="1" applyBorder="1" applyAlignment="1">
      <alignment horizontal="center" vertical="center" wrapText="1"/>
      <protection/>
    </xf>
    <xf numFmtId="0" fontId="13" fillId="0" borderId="61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22" xfId="53" applyFont="1" applyBorder="1" applyAlignment="1">
      <alignment horizontal="center" vertical="center"/>
      <protection/>
    </xf>
    <xf numFmtId="0" fontId="13" fillId="38" borderId="61" xfId="53" applyFont="1" applyFill="1" applyBorder="1" applyAlignment="1">
      <alignment horizontal="center" vertical="center"/>
      <protection/>
    </xf>
    <xf numFmtId="0" fontId="13" fillId="38" borderId="10" xfId="53" applyFont="1" applyFill="1" applyBorder="1" applyAlignment="1">
      <alignment horizontal="center" vertical="center"/>
      <protection/>
    </xf>
    <xf numFmtId="0" fontId="13" fillId="38" borderId="22" xfId="53" applyFont="1" applyFill="1" applyBorder="1" applyAlignment="1">
      <alignment horizontal="center" vertical="center"/>
      <protection/>
    </xf>
    <xf numFmtId="0" fontId="14" fillId="37" borderId="15" xfId="53" applyFont="1" applyFill="1" applyBorder="1" applyAlignment="1">
      <alignment horizontal="center" vertical="center"/>
      <protection/>
    </xf>
    <xf numFmtId="0" fontId="13" fillId="38" borderId="15" xfId="53" applyFont="1" applyFill="1" applyBorder="1" applyAlignment="1">
      <alignment horizontal="center" vertical="center"/>
      <protection/>
    </xf>
    <xf numFmtId="0" fontId="13" fillId="0" borderId="15" xfId="53" applyFont="1" applyBorder="1" applyAlignment="1">
      <alignment horizontal="center" vertical="center"/>
      <protection/>
    </xf>
    <xf numFmtId="0" fontId="14" fillId="37" borderId="21" xfId="53" applyFont="1" applyFill="1" applyBorder="1" applyAlignment="1">
      <alignment horizontal="center" vertical="center"/>
      <protection/>
    </xf>
    <xf numFmtId="0" fontId="14" fillId="37" borderId="79" xfId="53" applyFont="1" applyFill="1" applyBorder="1" applyAlignment="1">
      <alignment horizontal="center" vertical="center"/>
      <protection/>
    </xf>
    <xf numFmtId="0" fontId="14" fillId="37" borderId="64" xfId="53" applyFont="1" applyFill="1" applyBorder="1" applyAlignment="1">
      <alignment horizontal="center" vertical="center"/>
      <protection/>
    </xf>
    <xf numFmtId="0" fontId="13" fillId="0" borderId="61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22" xfId="53" applyFont="1" applyBorder="1" applyAlignment="1">
      <alignment horizontal="center" vertical="center"/>
      <protection/>
    </xf>
    <xf numFmtId="0" fontId="13" fillId="38" borderId="61" xfId="53" applyFont="1" applyFill="1" applyBorder="1" applyAlignment="1">
      <alignment horizontal="center" vertical="center" wrapText="1"/>
      <protection/>
    </xf>
    <xf numFmtId="0" fontId="13" fillId="38" borderId="10" xfId="53" applyFont="1" applyFill="1" applyBorder="1" applyAlignment="1">
      <alignment horizontal="center" vertical="center" wrapText="1"/>
      <protection/>
    </xf>
    <xf numFmtId="0" fontId="13" fillId="38" borderId="22" xfId="53" applyFont="1" applyFill="1" applyBorder="1" applyAlignment="1">
      <alignment horizontal="center" vertical="center" wrapText="1"/>
      <protection/>
    </xf>
    <xf numFmtId="0" fontId="13" fillId="40" borderId="61" xfId="53" applyFont="1" applyFill="1" applyBorder="1" applyAlignment="1">
      <alignment horizontal="center" vertical="center" wrapText="1"/>
      <protection/>
    </xf>
    <xf numFmtId="0" fontId="13" fillId="40" borderId="10" xfId="53" applyFont="1" applyFill="1" applyBorder="1" applyAlignment="1">
      <alignment horizontal="center" vertical="center" wrapText="1"/>
      <protection/>
    </xf>
    <xf numFmtId="0" fontId="13" fillId="40" borderId="22" xfId="53" applyFont="1" applyFill="1" applyBorder="1" applyAlignment="1">
      <alignment horizontal="center" vertical="center" wrapText="1"/>
      <protection/>
    </xf>
    <xf numFmtId="0" fontId="13" fillId="0" borderId="68" xfId="53" applyFont="1" applyBorder="1" applyAlignment="1">
      <alignment horizontal="left" vertical="center" wrapText="1"/>
      <protection/>
    </xf>
    <xf numFmtId="0" fontId="0" fillId="0" borderId="72" xfId="0" applyFont="1" applyBorder="1" applyAlignment="1">
      <alignment/>
    </xf>
    <xf numFmtId="0" fontId="14" fillId="38" borderId="61" xfId="53" applyFont="1" applyFill="1" applyBorder="1" applyAlignment="1">
      <alignment horizontal="center" vertical="center" wrapText="1"/>
      <protection/>
    </xf>
    <xf numFmtId="0" fontId="14" fillId="38" borderId="22" xfId="53" applyFont="1" applyFill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/>
      <protection/>
    </xf>
    <xf numFmtId="0" fontId="13" fillId="38" borderId="61" xfId="53" applyFont="1" applyFill="1" applyBorder="1" applyAlignment="1">
      <alignment horizontal="center" vertical="center" wrapText="1"/>
      <protection/>
    </xf>
    <xf numFmtId="0" fontId="13" fillId="38" borderId="10" xfId="53" applyFont="1" applyFill="1" applyBorder="1" applyAlignment="1">
      <alignment horizontal="center" vertical="center" wrapText="1"/>
      <protection/>
    </xf>
    <xf numFmtId="0" fontId="13" fillId="38" borderId="22" xfId="53" applyFont="1" applyFill="1" applyBorder="1" applyAlignment="1">
      <alignment horizontal="center" vertical="center" wrapText="1"/>
      <protection/>
    </xf>
    <xf numFmtId="0" fontId="13" fillId="0" borderId="61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61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13" fillId="0" borderId="0" xfId="5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" fontId="13" fillId="0" borderId="0" xfId="53" applyNumberFormat="1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169" fontId="14" fillId="0" borderId="0" xfId="0" applyNumberFormat="1" applyFont="1" applyFill="1" applyAlignment="1">
      <alignment horizontal="right" vertical="center"/>
    </xf>
    <xf numFmtId="0" fontId="13" fillId="40" borderId="61" xfId="53" applyFont="1" applyFill="1" applyBorder="1" applyAlignment="1">
      <alignment horizontal="center" vertical="center" wrapText="1"/>
      <protection/>
    </xf>
    <xf numFmtId="0" fontId="13" fillId="40" borderId="10" xfId="53" applyFont="1" applyFill="1" applyBorder="1" applyAlignment="1">
      <alignment horizontal="center" vertical="center" wrapText="1"/>
      <protection/>
    </xf>
    <xf numFmtId="0" fontId="13" fillId="40" borderId="22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169" fontId="14" fillId="0" borderId="15" xfId="53" applyNumberFormat="1" applyFont="1" applyBorder="1" applyAlignment="1">
      <alignment horizontal="center" vertical="center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50" fillId="38" borderId="61" xfId="53" applyFont="1" applyFill="1" applyBorder="1" applyAlignment="1">
      <alignment horizontal="center" vertical="center"/>
      <protection/>
    </xf>
    <xf numFmtId="0" fontId="50" fillId="38" borderId="10" xfId="53" applyFont="1" applyFill="1" applyBorder="1" applyAlignment="1">
      <alignment horizontal="center" vertical="center"/>
      <protection/>
    </xf>
    <xf numFmtId="0" fontId="50" fillId="38" borderId="22" xfId="53" applyFont="1" applyFill="1" applyBorder="1" applyAlignment="1">
      <alignment horizontal="center" vertical="center"/>
      <protection/>
    </xf>
    <xf numFmtId="0" fontId="50" fillId="38" borderId="61" xfId="53" applyFont="1" applyFill="1" applyBorder="1" applyAlignment="1">
      <alignment horizontal="center" vertical="center"/>
      <protection/>
    </xf>
    <xf numFmtId="0" fontId="50" fillId="38" borderId="10" xfId="53" applyFont="1" applyFill="1" applyBorder="1" applyAlignment="1">
      <alignment horizontal="center" vertical="center"/>
      <protection/>
    </xf>
    <xf numFmtId="0" fontId="50" fillId="38" borderId="22" xfId="53" applyFont="1" applyFill="1" applyBorder="1" applyAlignment="1">
      <alignment horizontal="center" vertical="center"/>
      <protection/>
    </xf>
    <xf numFmtId="0" fontId="13" fillId="38" borderId="61" xfId="53" applyFont="1" applyFill="1" applyBorder="1" applyAlignment="1">
      <alignment horizontal="center" vertical="center"/>
      <protection/>
    </xf>
    <xf numFmtId="0" fontId="13" fillId="38" borderId="10" xfId="53" applyFont="1" applyFill="1" applyBorder="1" applyAlignment="1">
      <alignment horizontal="center" vertical="center"/>
      <protection/>
    </xf>
    <xf numFmtId="0" fontId="13" fillId="38" borderId="22" xfId="53" applyFont="1" applyFill="1" applyBorder="1" applyAlignment="1">
      <alignment horizontal="center" vertical="center"/>
      <protection/>
    </xf>
    <xf numFmtId="0" fontId="14" fillId="0" borderId="26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/>
    </xf>
    <xf numFmtId="0" fontId="14" fillId="37" borderId="40" xfId="0" applyFont="1" applyFill="1" applyBorder="1" applyAlignment="1">
      <alignment horizontal="center" vertical="center"/>
    </xf>
    <xf numFmtId="49" fontId="14" fillId="33" borderId="32" xfId="0" applyNumberFormat="1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49" fontId="14" fillId="35" borderId="14" xfId="0" applyNumberFormat="1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7" borderId="46" xfId="52" applyFont="1" applyFill="1" applyBorder="1" applyAlignment="1">
      <alignment horizontal="center" vertical="center"/>
      <protection/>
    </xf>
    <xf numFmtId="0" fontId="14" fillId="37" borderId="47" xfId="52" applyFont="1" applyFill="1" applyBorder="1" applyAlignment="1">
      <alignment horizontal="center" vertical="center"/>
      <protection/>
    </xf>
    <xf numFmtId="0" fontId="14" fillId="37" borderId="92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14" fillId="37" borderId="89" xfId="0" applyFont="1" applyFill="1" applyBorder="1" applyAlignment="1">
      <alignment horizontal="center" vertical="center"/>
    </xf>
    <xf numFmtId="0" fontId="14" fillId="37" borderId="90" xfId="0" applyFont="1" applyFill="1" applyBorder="1" applyAlignment="1">
      <alignment horizontal="center" vertical="center"/>
    </xf>
    <xf numFmtId="0" fontId="14" fillId="37" borderId="91" xfId="0" applyFont="1" applyFill="1" applyBorder="1" applyAlignment="1">
      <alignment horizontal="center" vertical="center"/>
    </xf>
    <xf numFmtId="0" fontId="14" fillId="37" borderId="51" xfId="0" applyFont="1" applyFill="1" applyBorder="1" applyAlignment="1">
      <alignment horizontal="center" vertical="center"/>
    </xf>
    <xf numFmtId="0" fontId="14" fillId="37" borderId="52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4" fillId="37" borderId="44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40" xfId="0" applyFont="1" applyFill="1" applyBorder="1" applyAlignment="1">
      <alignment horizontal="center" vertical="center"/>
    </xf>
    <xf numFmtId="0" fontId="14" fillId="0" borderId="0" xfId="55" applyFont="1" applyAlignment="1">
      <alignment horizontal="center" vertical="center" wrapText="1"/>
      <protection/>
    </xf>
    <xf numFmtId="0" fontId="14" fillId="0" borderId="0" xfId="54" applyFont="1" applyAlignment="1">
      <alignment horizontal="right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niewygasy 2006" xfId="52"/>
    <cellStyle name="Normalny_projekty IP2011" xfId="53"/>
    <cellStyle name="Normalny_tabele2007" xfId="54"/>
    <cellStyle name="Normalny_zaklady opieki zdrowotnej" xfId="55"/>
    <cellStyle name="Normalny_Zmiany w budżecie 200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4"/>
  <sheetViews>
    <sheetView view="pageBreakPreview" zoomScaleSheetLayoutView="100" zoomScalePageLayoutView="0" workbookViewId="0" topLeftCell="A1">
      <pane ySplit="7" topLeftCell="A25" activePane="bottomLeft" state="frozen"/>
      <selection pane="topLeft" activeCell="I244" sqref="I244"/>
      <selection pane="bottomLeft" activeCell="B44" sqref="B44"/>
    </sheetView>
  </sheetViews>
  <sheetFormatPr defaultColWidth="9.00390625" defaultRowHeight="12.75"/>
  <cols>
    <col min="1" max="1" width="14.375" style="4" customWidth="1"/>
    <col min="2" max="2" width="17.00390625" style="4" customWidth="1"/>
    <col min="3" max="3" width="13.75390625" style="3" customWidth="1"/>
    <col min="4" max="4" width="13.875" style="3" customWidth="1"/>
    <col min="5" max="5" width="14.25390625" style="3" customWidth="1"/>
    <col min="6" max="6" width="13.625" style="3" customWidth="1"/>
    <col min="7" max="7" width="17.25390625" style="3" customWidth="1"/>
    <col min="8" max="8" width="5.25390625" style="3" customWidth="1"/>
    <col min="9" max="9" width="13.875" style="3" customWidth="1"/>
    <col min="10" max="10" width="13.375" style="3" customWidth="1"/>
    <col min="11" max="16384" width="9.125" style="3" customWidth="1"/>
  </cols>
  <sheetData>
    <row r="1" s="146" customFormat="1" ht="26.25" customHeight="1">
      <c r="F1" s="147" t="s">
        <v>607</v>
      </c>
    </row>
    <row r="2" spans="1:6" s="146" customFormat="1" ht="26.25" customHeight="1">
      <c r="A2" s="148"/>
      <c r="B2" s="148"/>
      <c r="C2" s="148"/>
      <c r="D2" s="148"/>
      <c r="E2" s="148"/>
      <c r="F2" s="148"/>
    </row>
    <row r="3" spans="1:6" s="146" customFormat="1" ht="42.75" customHeight="1">
      <c r="A3" s="1548" t="s">
        <v>324</v>
      </c>
      <c r="B3" s="1548"/>
      <c r="C3" s="1548"/>
      <c r="D3" s="1548"/>
      <c r="E3" s="1548"/>
      <c r="F3" s="1548"/>
    </row>
    <row r="4" spans="1:8" s="146" customFormat="1" ht="18" customHeight="1" thickBot="1">
      <c r="A4" s="149"/>
      <c r="B4" s="149"/>
      <c r="F4" s="150" t="s">
        <v>1351</v>
      </c>
      <c r="G4" s="1548"/>
      <c r="H4" s="1548"/>
    </row>
    <row r="5" spans="1:8" s="151" customFormat="1" ht="18" customHeight="1">
      <c r="A5" s="1562" t="s">
        <v>465</v>
      </c>
      <c r="B5" s="1564" t="s">
        <v>1337</v>
      </c>
      <c r="C5" s="1554" t="s">
        <v>336</v>
      </c>
      <c r="D5" s="1566"/>
      <c r="E5" s="1554" t="s">
        <v>337</v>
      </c>
      <c r="F5" s="1555"/>
      <c r="G5" s="1548"/>
      <c r="H5" s="1548"/>
    </row>
    <row r="6" spans="1:6" s="154" customFormat="1" ht="18" customHeight="1">
      <c r="A6" s="1563"/>
      <c r="B6" s="1565"/>
      <c r="C6" s="152" t="s">
        <v>466</v>
      </c>
      <c r="D6" s="152" t="s">
        <v>467</v>
      </c>
      <c r="E6" s="152" t="s">
        <v>466</v>
      </c>
      <c r="F6" s="153" t="s">
        <v>467</v>
      </c>
    </row>
    <row r="7" spans="1:6" s="159" customFormat="1" ht="13.5" customHeight="1">
      <c r="A7" s="155">
        <v>1</v>
      </c>
      <c r="B7" s="156">
        <v>2</v>
      </c>
      <c r="C7" s="157">
        <v>3</v>
      </c>
      <c r="D7" s="157">
        <v>4</v>
      </c>
      <c r="E7" s="157">
        <v>5</v>
      </c>
      <c r="F7" s="158">
        <v>6</v>
      </c>
    </row>
    <row r="8" spans="1:6" s="154" customFormat="1" ht="18" customHeight="1">
      <c r="A8" s="1560" t="s">
        <v>468</v>
      </c>
      <c r="B8" s="1561"/>
      <c r="C8" s="1549">
        <v>239802261</v>
      </c>
      <c r="D8" s="1550"/>
      <c r="E8" s="1549">
        <v>237361608</v>
      </c>
      <c r="F8" s="1556"/>
    </row>
    <row r="9" spans="1:10" s="164" customFormat="1" ht="18" customHeight="1">
      <c r="A9" s="160" t="s">
        <v>902</v>
      </c>
      <c r="B9" s="161" t="s">
        <v>903</v>
      </c>
      <c r="C9" s="162">
        <v>0</v>
      </c>
      <c r="D9" s="162">
        <v>0</v>
      </c>
      <c r="E9" s="162">
        <v>-965697</v>
      </c>
      <c r="F9" s="163">
        <v>965697</v>
      </c>
      <c r="I9" s="165"/>
      <c r="J9" s="165"/>
    </row>
    <row r="10" spans="1:10" s="146" customFormat="1" ht="18" customHeight="1">
      <c r="A10" s="160" t="s">
        <v>904</v>
      </c>
      <c r="B10" s="161" t="s">
        <v>905</v>
      </c>
      <c r="C10" s="162">
        <v>0</v>
      </c>
      <c r="D10" s="162">
        <v>5654350</v>
      </c>
      <c r="E10" s="162">
        <v>0</v>
      </c>
      <c r="F10" s="163">
        <v>5654350</v>
      </c>
      <c r="H10" s="164"/>
      <c r="I10" s="165"/>
      <c r="J10" s="165"/>
    </row>
    <row r="11" spans="1:10" s="12" customFormat="1" ht="18" customHeight="1">
      <c r="A11" s="160" t="s">
        <v>908</v>
      </c>
      <c r="B11" s="161" t="s">
        <v>906</v>
      </c>
      <c r="C11" s="162">
        <v>0</v>
      </c>
      <c r="D11" s="162">
        <v>0</v>
      </c>
      <c r="E11" s="162">
        <v>-814901</v>
      </c>
      <c r="F11" s="163">
        <v>814901</v>
      </c>
      <c r="I11" s="13"/>
      <c r="J11" s="13"/>
    </row>
    <row r="12" spans="1:10" s="12" customFormat="1" ht="18" customHeight="1">
      <c r="A12" s="160" t="s">
        <v>909</v>
      </c>
      <c r="B12" s="161" t="s">
        <v>907</v>
      </c>
      <c r="C12" s="162">
        <v>0</v>
      </c>
      <c r="D12" s="162">
        <v>0</v>
      </c>
      <c r="E12" s="162">
        <v>-645037</v>
      </c>
      <c r="F12" s="163">
        <v>645037</v>
      </c>
      <c r="I12" s="13"/>
      <c r="J12" s="13"/>
    </row>
    <row r="13" spans="1:10" s="12" customFormat="1" ht="18" customHeight="1">
      <c r="A13" s="160" t="s">
        <v>909</v>
      </c>
      <c r="B13" s="161" t="s">
        <v>910</v>
      </c>
      <c r="C13" s="162">
        <v>0</v>
      </c>
      <c r="D13" s="162">
        <v>362450</v>
      </c>
      <c r="E13" s="162">
        <v>-21000</v>
      </c>
      <c r="F13" s="163">
        <v>383450</v>
      </c>
      <c r="I13" s="13"/>
      <c r="J13" s="13"/>
    </row>
    <row r="14" spans="1:10" s="146" customFormat="1" ht="18" customHeight="1">
      <c r="A14" s="160" t="s">
        <v>911</v>
      </c>
      <c r="B14" s="161" t="s">
        <v>912</v>
      </c>
      <c r="C14" s="162">
        <v>0</v>
      </c>
      <c r="D14" s="162">
        <v>0</v>
      </c>
      <c r="E14" s="162">
        <v>-44967</v>
      </c>
      <c r="F14" s="163">
        <v>44967</v>
      </c>
      <c r="H14" s="164"/>
      <c r="I14" s="165"/>
      <c r="J14" s="165"/>
    </row>
    <row r="15" spans="1:10" s="164" customFormat="1" ht="18" customHeight="1">
      <c r="A15" s="160" t="s">
        <v>913</v>
      </c>
      <c r="B15" s="161" t="s">
        <v>914</v>
      </c>
      <c r="C15" s="162">
        <v>0</v>
      </c>
      <c r="D15" s="162">
        <v>0</v>
      </c>
      <c r="E15" s="162">
        <v>-200000</v>
      </c>
      <c r="F15" s="162">
        <v>3568616</v>
      </c>
      <c r="I15" s="165"/>
      <c r="J15" s="165"/>
    </row>
    <row r="16" spans="1:10" s="146" customFormat="1" ht="18" customHeight="1">
      <c r="A16" s="171" t="s">
        <v>915</v>
      </c>
      <c r="B16" s="161" t="s">
        <v>916</v>
      </c>
      <c r="C16" s="162">
        <v>0</v>
      </c>
      <c r="D16" s="162">
        <v>0</v>
      </c>
      <c r="E16" s="162">
        <v>-65221</v>
      </c>
      <c r="F16" s="163">
        <v>65221</v>
      </c>
      <c r="H16" s="164"/>
      <c r="I16" s="165"/>
      <c r="J16" s="165"/>
    </row>
    <row r="17" spans="1:10" s="146" customFormat="1" ht="18" customHeight="1">
      <c r="A17" s="171" t="s">
        <v>915</v>
      </c>
      <c r="B17" s="161" t="s">
        <v>917</v>
      </c>
      <c r="C17" s="162">
        <v>-20000</v>
      </c>
      <c r="D17" s="162">
        <v>386613</v>
      </c>
      <c r="E17" s="162">
        <v>-20000</v>
      </c>
      <c r="F17" s="163">
        <v>386613</v>
      </c>
      <c r="H17" s="164"/>
      <c r="I17" s="165"/>
      <c r="J17" s="165"/>
    </row>
    <row r="18" spans="1:10" s="164" customFormat="1" ht="18" customHeight="1">
      <c r="A18" s="171" t="s">
        <v>918</v>
      </c>
      <c r="B18" s="161" t="s">
        <v>919</v>
      </c>
      <c r="C18" s="162">
        <v>0</v>
      </c>
      <c r="D18" s="162">
        <v>4263</v>
      </c>
      <c r="E18" s="162">
        <v>0</v>
      </c>
      <c r="F18" s="163">
        <v>4263</v>
      </c>
      <c r="I18" s="165"/>
      <c r="J18" s="165"/>
    </row>
    <row r="19" spans="1:10" s="146" customFormat="1" ht="18" customHeight="1">
      <c r="A19" s="171" t="s">
        <v>920</v>
      </c>
      <c r="B19" s="161" t="s">
        <v>921</v>
      </c>
      <c r="C19" s="162">
        <v>0</v>
      </c>
      <c r="D19" s="162">
        <v>0</v>
      </c>
      <c r="E19" s="162">
        <v>-372740</v>
      </c>
      <c r="F19" s="163">
        <v>372740</v>
      </c>
      <c r="H19" s="164"/>
      <c r="I19" s="165"/>
      <c r="J19" s="165"/>
    </row>
    <row r="20" spans="1:10" s="164" customFormat="1" ht="18" customHeight="1">
      <c r="A20" s="171" t="s">
        <v>920</v>
      </c>
      <c r="B20" s="161" t="s">
        <v>922</v>
      </c>
      <c r="C20" s="162">
        <v>0</v>
      </c>
      <c r="D20" s="162">
        <v>215983.11</v>
      </c>
      <c r="E20" s="162">
        <v>0</v>
      </c>
      <c r="F20" s="163">
        <v>215983.11</v>
      </c>
      <c r="I20" s="165"/>
      <c r="J20" s="165"/>
    </row>
    <row r="21" spans="1:10" s="146" customFormat="1" ht="18" customHeight="1">
      <c r="A21" s="171" t="s">
        <v>923</v>
      </c>
      <c r="B21" s="161" t="s">
        <v>924</v>
      </c>
      <c r="C21" s="162">
        <v>0</v>
      </c>
      <c r="D21" s="162">
        <v>0</v>
      </c>
      <c r="E21" s="162">
        <v>-336826</v>
      </c>
      <c r="F21" s="162">
        <v>336826</v>
      </c>
      <c r="H21" s="164"/>
      <c r="I21" s="165"/>
      <c r="J21" s="165"/>
    </row>
    <row r="22" spans="1:10" s="146" customFormat="1" ht="18" customHeight="1">
      <c r="A22" s="171" t="s">
        <v>925</v>
      </c>
      <c r="B22" s="161" t="s">
        <v>926</v>
      </c>
      <c r="C22" s="162">
        <v>0</v>
      </c>
      <c r="D22" s="162">
        <v>99000</v>
      </c>
      <c r="E22" s="162">
        <v>-3433917</v>
      </c>
      <c r="F22" s="163">
        <v>3532917</v>
      </c>
      <c r="H22" s="164"/>
      <c r="I22" s="165"/>
      <c r="J22" s="165"/>
    </row>
    <row r="23" spans="1:10" s="146" customFormat="1" ht="18" customHeight="1">
      <c r="A23" s="171" t="s">
        <v>927</v>
      </c>
      <c r="B23" s="161" t="s">
        <v>928</v>
      </c>
      <c r="C23" s="162">
        <v>0</v>
      </c>
      <c r="D23" s="162">
        <v>0</v>
      </c>
      <c r="E23" s="162">
        <v>-314373</v>
      </c>
      <c r="F23" s="163">
        <v>314373</v>
      </c>
      <c r="H23" s="164"/>
      <c r="I23" s="165"/>
      <c r="J23" s="165"/>
    </row>
    <row r="24" spans="1:10" s="146" customFormat="1" ht="18" customHeight="1">
      <c r="A24" s="171" t="s">
        <v>927</v>
      </c>
      <c r="B24" s="161" t="s">
        <v>929</v>
      </c>
      <c r="C24" s="162">
        <v>-3000</v>
      </c>
      <c r="D24" s="162">
        <v>16224</v>
      </c>
      <c r="E24" s="162">
        <v>-3000</v>
      </c>
      <c r="F24" s="163">
        <v>16224</v>
      </c>
      <c r="H24" s="164"/>
      <c r="I24" s="165"/>
      <c r="J24" s="165"/>
    </row>
    <row r="25" spans="1:10" s="146" customFormat="1" ht="18" customHeight="1">
      <c r="A25" s="171" t="s">
        <v>930</v>
      </c>
      <c r="B25" s="161" t="s">
        <v>931</v>
      </c>
      <c r="C25" s="162">
        <v>0</v>
      </c>
      <c r="D25" s="162">
        <v>0</v>
      </c>
      <c r="E25" s="162">
        <v>-301715</v>
      </c>
      <c r="F25" s="163">
        <v>301715</v>
      </c>
      <c r="H25" s="164"/>
      <c r="I25" s="165"/>
      <c r="J25" s="165"/>
    </row>
    <row r="26" spans="1:10" ht="18" customHeight="1">
      <c r="A26" s="171" t="s">
        <v>932</v>
      </c>
      <c r="B26" s="161" t="s">
        <v>933</v>
      </c>
      <c r="C26" s="162">
        <v>0</v>
      </c>
      <c r="D26" s="162">
        <v>0</v>
      </c>
      <c r="E26" s="162">
        <v>-35963</v>
      </c>
      <c r="F26" s="163">
        <v>35963</v>
      </c>
      <c r="H26" s="12"/>
      <c r="I26" s="13"/>
      <c r="J26" s="13"/>
    </row>
    <row r="27" spans="1:10" s="146" customFormat="1" ht="18" customHeight="1">
      <c r="A27" s="171" t="s">
        <v>934</v>
      </c>
      <c r="B27" s="161" t="s">
        <v>935</v>
      </c>
      <c r="C27" s="162">
        <v>-8144672</v>
      </c>
      <c r="D27" s="162">
        <v>2276134</v>
      </c>
      <c r="E27" s="162">
        <v>-2698700</v>
      </c>
      <c r="F27" s="163">
        <v>4845445</v>
      </c>
      <c r="H27" s="164"/>
      <c r="I27" s="165"/>
      <c r="J27" s="165"/>
    </row>
    <row r="28" spans="1:10" s="146" customFormat="1" ht="18" customHeight="1">
      <c r="A28" s="171" t="s">
        <v>936</v>
      </c>
      <c r="B28" s="161" t="s">
        <v>937</v>
      </c>
      <c r="C28" s="162">
        <v>0</v>
      </c>
      <c r="D28" s="162">
        <v>0</v>
      </c>
      <c r="E28" s="162">
        <v>-92769</v>
      </c>
      <c r="F28" s="163">
        <v>92769</v>
      </c>
      <c r="H28" s="164"/>
      <c r="I28" s="165"/>
      <c r="J28" s="165"/>
    </row>
    <row r="29" spans="1:10" s="146" customFormat="1" ht="18" customHeight="1">
      <c r="A29" s="171" t="s">
        <v>936</v>
      </c>
      <c r="B29" s="161" t="s">
        <v>938</v>
      </c>
      <c r="C29" s="162">
        <v>-1600</v>
      </c>
      <c r="D29" s="162">
        <v>56567.99</v>
      </c>
      <c r="E29" s="162">
        <v>-1600</v>
      </c>
      <c r="F29" s="163">
        <v>56567.99</v>
      </c>
      <c r="H29" s="164"/>
      <c r="I29" s="165"/>
      <c r="J29" s="165"/>
    </row>
    <row r="30" spans="1:6" s="154" customFormat="1" ht="18" customHeight="1">
      <c r="A30" s="1560" t="s">
        <v>165</v>
      </c>
      <c r="B30" s="1561"/>
      <c r="C30" s="172">
        <f>SUM(C9:C29)</f>
        <v>-8169272</v>
      </c>
      <c r="D30" s="172">
        <f>SUM(D9:D29)</f>
        <v>9071585.1</v>
      </c>
      <c r="E30" s="172">
        <f>SUM(E9:E29)</f>
        <v>-10368426</v>
      </c>
      <c r="F30" s="1409">
        <f>SUM(F9:F29)</f>
        <v>22654638.099999998</v>
      </c>
    </row>
    <row r="31" spans="1:6" s="154" customFormat="1" ht="18" customHeight="1">
      <c r="A31" s="1560" t="s">
        <v>469</v>
      </c>
      <c r="B31" s="1561"/>
      <c r="C31" s="1549">
        <f>SUM(C30:D30)</f>
        <v>902313.0999999996</v>
      </c>
      <c r="D31" s="1550"/>
      <c r="E31" s="1549">
        <f>SUM(E30:F30)</f>
        <v>12286212.099999998</v>
      </c>
      <c r="F31" s="1556"/>
    </row>
    <row r="32" spans="1:6" s="154" customFormat="1" ht="18" customHeight="1" thickBot="1">
      <c r="A32" s="1558" t="s">
        <v>470</v>
      </c>
      <c r="B32" s="1559"/>
      <c r="C32" s="1551">
        <f>SUM(C8,C31)</f>
        <v>240704574.1</v>
      </c>
      <c r="D32" s="1552"/>
      <c r="E32" s="1551">
        <f>SUM(E8,E31)</f>
        <v>249647820.1</v>
      </c>
      <c r="F32" s="1557"/>
    </row>
    <row r="33" spans="1:2" s="146" customFormat="1" ht="12.75" customHeight="1">
      <c r="A33" s="149"/>
      <c r="B33" s="149"/>
    </row>
    <row r="34" spans="1:6" s="146" customFormat="1" ht="12.75" hidden="1">
      <c r="A34" s="149"/>
      <c r="B34" s="149" t="s">
        <v>1368</v>
      </c>
      <c r="C34" s="1547">
        <v>251142808.91</v>
      </c>
      <c r="D34" s="1547"/>
      <c r="E34" s="1547">
        <v>251763380.91</v>
      </c>
      <c r="F34" s="1547"/>
    </row>
    <row r="35" spans="1:6" s="146" customFormat="1" ht="12.75" hidden="1">
      <c r="A35" s="149"/>
      <c r="B35" s="149" t="s">
        <v>625</v>
      </c>
      <c r="C35" s="1547">
        <f>C32-C34</f>
        <v>-10438234.810000002</v>
      </c>
      <c r="D35" s="1553"/>
      <c r="E35" s="1547">
        <f>E32-E34</f>
        <v>-2115560.8100000024</v>
      </c>
      <c r="F35" s="1553"/>
    </row>
    <row r="36" spans="1:2" s="146" customFormat="1" ht="12.75" hidden="1">
      <c r="A36" s="149"/>
      <c r="B36" s="149"/>
    </row>
    <row r="37" spans="1:2" s="146" customFormat="1" ht="12.75" hidden="1">
      <c r="A37" s="149"/>
      <c r="B37" s="149"/>
    </row>
    <row r="38" spans="1:6" s="146" customFormat="1" ht="12.75" hidden="1">
      <c r="A38" s="149"/>
      <c r="B38" s="149" t="s">
        <v>1152</v>
      </c>
      <c r="C38" s="1547">
        <v>251142808.91</v>
      </c>
      <c r="D38" s="1547"/>
      <c r="E38" s="1547">
        <v>251763380.91</v>
      </c>
      <c r="F38" s="1547"/>
    </row>
    <row r="39" spans="1:2" s="146" customFormat="1" ht="12.75" hidden="1">
      <c r="A39" s="149"/>
      <c r="B39" s="149"/>
    </row>
    <row r="40" spans="1:2" s="146" customFormat="1" ht="12.75" hidden="1">
      <c r="A40" s="149"/>
      <c r="B40" s="149"/>
    </row>
    <row r="41" spans="1:2" s="146" customFormat="1" ht="12.75" hidden="1">
      <c r="A41" s="149"/>
      <c r="B41" s="149"/>
    </row>
    <row r="42" spans="1:6" s="146" customFormat="1" ht="12.75" hidden="1">
      <c r="A42" s="149"/>
      <c r="B42" s="149" t="s">
        <v>272</v>
      </c>
      <c r="C42" s="1547">
        <v>240704574.1</v>
      </c>
      <c r="D42" s="1547"/>
      <c r="E42" s="1547">
        <v>249647820.1</v>
      </c>
      <c r="F42" s="1547"/>
    </row>
    <row r="43" spans="1:6" s="146" customFormat="1" ht="12.75" hidden="1">
      <c r="A43" s="149"/>
      <c r="B43" s="149" t="s">
        <v>625</v>
      </c>
      <c r="C43" s="1547">
        <f>C32-C42</f>
        <v>0</v>
      </c>
      <c r="D43" s="1547"/>
      <c r="E43" s="1547">
        <f>E32-E42</f>
        <v>0</v>
      </c>
      <c r="F43" s="1547"/>
    </row>
    <row r="44" spans="1:2" s="146" customFormat="1" ht="12.75">
      <c r="A44" s="149"/>
      <c r="B44" s="149"/>
    </row>
  </sheetData>
  <sheetProtection password="CF53" sheet="1" formatRows="0" insertColumns="0" insertRows="0" insertHyperlinks="0" deleteColumns="0" deleteRows="0" sort="0" autoFilter="0" pivotTables="0"/>
  <mergeCells count="27">
    <mergeCell ref="A32:B32"/>
    <mergeCell ref="A30:B30"/>
    <mergeCell ref="A31:B31"/>
    <mergeCell ref="A3:F3"/>
    <mergeCell ref="E8:F8"/>
    <mergeCell ref="A5:A6"/>
    <mergeCell ref="B5:B6"/>
    <mergeCell ref="C5:D5"/>
    <mergeCell ref="A8:B8"/>
    <mergeCell ref="C8:D8"/>
    <mergeCell ref="H4:H5"/>
    <mergeCell ref="E5:F5"/>
    <mergeCell ref="E31:F31"/>
    <mergeCell ref="C42:D42"/>
    <mergeCell ref="E42:F42"/>
    <mergeCell ref="C34:D34"/>
    <mergeCell ref="E38:F38"/>
    <mergeCell ref="E35:F35"/>
    <mergeCell ref="E32:F32"/>
    <mergeCell ref="E34:F34"/>
    <mergeCell ref="C43:D43"/>
    <mergeCell ref="G4:G5"/>
    <mergeCell ref="C31:D31"/>
    <mergeCell ref="C32:D32"/>
    <mergeCell ref="E43:F43"/>
    <mergeCell ref="C35:D35"/>
    <mergeCell ref="C38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J1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I244" sqref="I244"/>
      <selection pane="bottomLeft" activeCell="C138" sqref="C138"/>
    </sheetView>
  </sheetViews>
  <sheetFormatPr defaultColWidth="9.00390625" defaultRowHeight="12.75"/>
  <cols>
    <col min="1" max="1" width="3.375" style="191" customWidth="1"/>
    <col min="2" max="2" width="7.375" style="191" customWidth="1"/>
    <col min="3" max="3" width="46.00390625" style="174" customWidth="1"/>
    <col min="4" max="4" width="13.375" style="174" customWidth="1"/>
    <col min="5" max="5" width="12.625" style="174" customWidth="1"/>
    <col min="6" max="6" width="6.125" style="174" customWidth="1"/>
    <col min="7" max="7" width="2.75390625" style="175" hidden="1" customWidth="1"/>
    <col min="8" max="8" width="11.25390625" style="176" hidden="1" customWidth="1"/>
    <col min="9" max="9" width="9.875" style="226" hidden="1" customWidth="1"/>
    <col min="10" max="10" width="0" style="206" hidden="1" customWidth="1"/>
    <col min="11" max="15" width="9.125" style="174" customWidth="1"/>
    <col min="16" max="16" width="8.875" style="174" customWidth="1"/>
    <col min="17" max="16384" width="9.125" style="174" customWidth="1"/>
  </cols>
  <sheetData>
    <row r="1" spans="5:6" ht="12.75">
      <c r="E1" s="1583" t="s">
        <v>611</v>
      </c>
      <c r="F1" s="1583"/>
    </row>
    <row r="2" spans="5:6" ht="12.75">
      <c r="E2" s="176"/>
      <c r="F2" s="176"/>
    </row>
    <row r="3" spans="1:6" ht="12.75">
      <c r="A3" s="1587" t="s">
        <v>1198</v>
      </c>
      <c r="B3" s="1587"/>
      <c r="C3" s="1587"/>
      <c r="D3" s="1587"/>
      <c r="E3" s="1587"/>
      <c r="F3" s="1587"/>
    </row>
    <row r="4" spans="1:6" ht="13.5" customHeight="1">
      <c r="A4" s="173"/>
      <c r="B4" s="173"/>
      <c r="C4" s="173"/>
      <c r="D4" s="173"/>
      <c r="E4" s="173"/>
      <c r="F4" s="173"/>
    </row>
    <row r="5" spans="1:6" ht="28.5" customHeight="1" thickBot="1">
      <c r="A5" s="1640" t="s">
        <v>279</v>
      </c>
      <c r="B5" s="1641"/>
      <c r="C5" s="1641"/>
      <c r="D5" s="1641"/>
      <c r="E5" s="1641"/>
      <c r="F5" s="855" t="s">
        <v>1351</v>
      </c>
    </row>
    <row r="6" spans="1:10" s="570" customFormat="1" ht="17.25" customHeight="1">
      <c r="A6" s="748" t="s">
        <v>168</v>
      </c>
      <c r="B6" s="749" t="s">
        <v>1352</v>
      </c>
      <c r="C6" s="750" t="s">
        <v>98</v>
      </c>
      <c r="D6" s="196" t="s">
        <v>1354</v>
      </c>
      <c r="E6" s="856" t="s">
        <v>1355</v>
      </c>
      <c r="F6" s="197" t="s">
        <v>505</v>
      </c>
      <c r="G6" s="563"/>
      <c r="H6" s="1654" t="s">
        <v>806</v>
      </c>
      <c r="I6" s="1654"/>
      <c r="J6" s="857"/>
    </row>
    <row r="7" spans="1:10" s="863" customFormat="1" ht="11.25" customHeight="1">
      <c r="A7" s="858">
        <v>1</v>
      </c>
      <c r="B7" s="859">
        <v>2</v>
      </c>
      <c r="C7" s="859">
        <v>3</v>
      </c>
      <c r="D7" s="859">
        <v>4</v>
      </c>
      <c r="E7" s="860">
        <v>5</v>
      </c>
      <c r="F7" s="861">
        <v>6</v>
      </c>
      <c r="G7" s="244"/>
      <c r="H7" s="882"/>
      <c r="I7" s="883"/>
      <c r="J7" s="862"/>
    </row>
    <row r="8" spans="1:6" ht="18" customHeight="1">
      <c r="A8" s="1633" t="s">
        <v>1123</v>
      </c>
      <c r="B8" s="1634"/>
      <c r="C8" s="1635"/>
      <c r="D8" s="864">
        <f>SUM(D9,D10)</f>
        <v>2440000</v>
      </c>
      <c r="E8" s="864">
        <f>SUM(E9,E10)</f>
        <v>2080000</v>
      </c>
      <c r="F8" s="865">
        <f>E8/D8*100</f>
        <v>85.24590163934425</v>
      </c>
    </row>
    <row r="9" spans="1:7" ht="40.5" customHeight="1">
      <c r="A9" s="215" t="s">
        <v>171</v>
      </c>
      <c r="B9" s="208">
        <v>70001</v>
      </c>
      <c r="C9" s="866" t="s">
        <v>804</v>
      </c>
      <c r="D9" s="853">
        <f>SUM(9W!D73)</f>
        <v>320000</v>
      </c>
      <c r="E9" s="853">
        <f>SUM(9W!E73)</f>
        <v>160000</v>
      </c>
      <c r="F9" s="854">
        <f>E9/D9*100</f>
        <v>50</v>
      </c>
      <c r="G9" s="175" t="s">
        <v>307</v>
      </c>
    </row>
    <row r="10" spans="1:7" ht="117.75" customHeight="1" thickBot="1">
      <c r="A10" s="890" t="s">
        <v>172</v>
      </c>
      <c r="B10" s="891">
        <v>92605</v>
      </c>
      <c r="C10" s="892" t="s">
        <v>72</v>
      </c>
      <c r="D10" s="893">
        <v>2120000</v>
      </c>
      <c r="E10" s="893">
        <v>1920000</v>
      </c>
      <c r="F10" s="894">
        <f>E10/D10*100</f>
        <v>90.56603773584906</v>
      </c>
      <c r="G10" s="175" t="s">
        <v>307</v>
      </c>
    </row>
    <row r="11" spans="1:6" ht="17.25" customHeight="1" thickBot="1" thickTop="1">
      <c r="A11" s="1630" t="s">
        <v>1126</v>
      </c>
      <c r="B11" s="1631"/>
      <c r="C11" s="1632"/>
      <c r="D11" s="895">
        <f>SUM(D8)</f>
        <v>2440000</v>
      </c>
      <c r="E11" s="895">
        <f>SUM(E8)</f>
        <v>2080000</v>
      </c>
      <c r="F11" s="896">
        <f>E11/D11*100</f>
        <v>85.24590163934425</v>
      </c>
    </row>
    <row r="12" ht="25.5" customHeight="1">
      <c r="F12" s="869"/>
    </row>
    <row r="13" spans="1:10" s="175" customFormat="1" ht="43.5" customHeight="1" thickBot="1">
      <c r="A13" s="1639" t="s">
        <v>139</v>
      </c>
      <c r="B13" s="1639"/>
      <c r="C13" s="1639"/>
      <c r="D13" s="1639"/>
      <c r="E13" s="1639"/>
      <c r="F13" s="1639"/>
      <c r="H13" s="176"/>
      <c r="I13" s="226"/>
      <c r="J13" s="225"/>
    </row>
    <row r="14" spans="1:10" s="570" customFormat="1" ht="19.5" customHeight="1">
      <c r="A14" s="194" t="s">
        <v>168</v>
      </c>
      <c r="B14" s="195" t="s">
        <v>1352</v>
      </c>
      <c r="C14" s="750" t="s">
        <v>98</v>
      </c>
      <c r="D14" s="196" t="s">
        <v>1354</v>
      </c>
      <c r="E14" s="856" t="s">
        <v>1355</v>
      </c>
      <c r="F14" s="197" t="s">
        <v>505</v>
      </c>
      <c r="G14" s="563"/>
      <c r="H14" s="880"/>
      <c r="I14" s="881"/>
      <c r="J14" s="857"/>
    </row>
    <row r="15" spans="1:10" s="737" customFormat="1" ht="10.5" customHeight="1">
      <c r="A15" s="858">
        <v>1</v>
      </c>
      <c r="B15" s="859">
        <v>2</v>
      </c>
      <c r="C15" s="859">
        <v>3</v>
      </c>
      <c r="D15" s="859">
        <v>4</v>
      </c>
      <c r="E15" s="860">
        <v>5</v>
      </c>
      <c r="F15" s="861">
        <v>6</v>
      </c>
      <c r="G15" s="185"/>
      <c r="H15" s="882"/>
      <c r="I15" s="883"/>
      <c r="J15" s="870"/>
    </row>
    <row r="16" spans="1:6" ht="18.75" customHeight="1">
      <c r="A16" s="1633" t="s">
        <v>1123</v>
      </c>
      <c r="B16" s="1634"/>
      <c r="C16" s="1635"/>
      <c r="D16" s="864">
        <f>SUM(D17:D32)</f>
        <v>5335546</v>
      </c>
      <c r="E16" s="864">
        <f>SUM(E17:E32)</f>
        <v>3196002.64</v>
      </c>
      <c r="F16" s="865">
        <f>E16/D16*100</f>
        <v>59.90019840518666</v>
      </c>
    </row>
    <row r="17" spans="1:8" ht="36.75" customHeight="1">
      <c r="A17" s="215" t="s">
        <v>171</v>
      </c>
      <c r="B17" s="208">
        <v>80101</v>
      </c>
      <c r="C17" s="207" t="s">
        <v>45</v>
      </c>
      <c r="D17" s="868">
        <f>SUM(9W!D240)</f>
        <v>381628</v>
      </c>
      <c r="E17" s="868">
        <f>SUM(9W!E240)</f>
        <v>186792.04</v>
      </c>
      <c r="F17" s="854">
        <f aca="true" t="shared" si="0" ref="F17:F54">E17/D17*100</f>
        <v>48.94610458352113</v>
      </c>
      <c r="G17" s="679" t="s">
        <v>308</v>
      </c>
      <c r="H17" s="226"/>
    </row>
    <row r="18" spans="1:7" ht="35.25" customHeight="1">
      <c r="A18" s="215" t="s">
        <v>172</v>
      </c>
      <c r="B18" s="208">
        <v>80103</v>
      </c>
      <c r="C18" s="207" t="s">
        <v>45</v>
      </c>
      <c r="D18" s="868">
        <f>SUM(9W!D249)</f>
        <v>27134</v>
      </c>
      <c r="E18" s="868">
        <f>SUM(9W!E249)</f>
        <v>12152.36</v>
      </c>
      <c r="F18" s="854">
        <f t="shared" si="0"/>
        <v>44.786467162968975</v>
      </c>
      <c r="G18" s="679" t="s">
        <v>308</v>
      </c>
    </row>
    <row r="19" spans="1:9" ht="24" customHeight="1">
      <c r="A19" s="215" t="s">
        <v>249</v>
      </c>
      <c r="B19" s="208">
        <v>80104</v>
      </c>
      <c r="C19" s="867" t="s">
        <v>1154</v>
      </c>
      <c r="D19" s="868">
        <v>260364</v>
      </c>
      <c r="E19" s="868">
        <v>81060.69</v>
      </c>
      <c r="F19" s="854">
        <f t="shared" si="0"/>
        <v>31.133601419551095</v>
      </c>
      <c r="G19" s="1652" t="s">
        <v>308</v>
      </c>
      <c r="H19" s="1653">
        <v>537571</v>
      </c>
      <c r="I19" s="1653">
        <v>205017.79</v>
      </c>
    </row>
    <row r="20" spans="1:9" ht="24" customHeight="1">
      <c r="A20" s="215" t="s">
        <v>256</v>
      </c>
      <c r="B20" s="208">
        <v>80104</v>
      </c>
      <c r="C20" s="867" t="s">
        <v>20</v>
      </c>
      <c r="D20" s="868">
        <v>96457</v>
      </c>
      <c r="E20" s="868">
        <v>41522.5</v>
      </c>
      <c r="F20" s="854">
        <f t="shared" si="0"/>
        <v>43.04767927677618</v>
      </c>
      <c r="G20" s="1652"/>
      <c r="H20" s="1653"/>
      <c r="I20" s="1653"/>
    </row>
    <row r="21" spans="1:8" ht="24" customHeight="1">
      <c r="A21" s="215" t="s">
        <v>257</v>
      </c>
      <c r="B21" s="208">
        <v>80104</v>
      </c>
      <c r="C21" s="867" t="s">
        <v>66</v>
      </c>
      <c r="D21" s="868">
        <v>180750</v>
      </c>
      <c r="E21" s="868">
        <v>82434.6</v>
      </c>
      <c r="F21" s="854">
        <f t="shared" si="0"/>
        <v>45.606970954356854</v>
      </c>
      <c r="G21" s="1496"/>
      <c r="H21" s="226"/>
    </row>
    <row r="22" spans="1:7" ht="24" customHeight="1">
      <c r="A22" s="215" t="s">
        <v>258</v>
      </c>
      <c r="B22" s="208">
        <v>80105</v>
      </c>
      <c r="C22" s="867" t="s">
        <v>1137</v>
      </c>
      <c r="D22" s="868">
        <f>SUM(9W!D264)</f>
        <v>393375</v>
      </c>
      <c r="E22" s="868">
        <f>SUM(9W!E264)</f>
        <v>190727.34</v>
      </c>
      <c r="F22" s="854">
        <f t="shared" si="0"/>
        <v>48.48486558627264</v>
      </c>
      <c r="G22" s="871" t="s">
        <v>308</v>
      </c>
    </row>
    <row r="23" spans="1:9" ht="33" customHeight="1">
      <c r="A23" s="215" t="s">
        <v>330</v>
      </c>
      <c r="B23" s="208">
        <v>80110</v>
      </c>
      <c r="C23" s="207" t="s">
        <v>71</v>
      </c>
      <c r="D23" s="868">
        <v>115036</v>
      </c>
      <c r="E23" s="872">
        <v>72622.4</v>
      </c>
      <c r="F23" s="854">
        <f t="shared" si="0"/>
        <v>63.13015056156333</v>
      </c>
      <c r="G23" s="175" t="s">
        <v>308</v>
      </c>
      <c r="H23" s="226">
        <v>372193</v>
      </c>
      <c r="I23" s="226">
        <f>158407.61+92566.5</f>
        <v>250974.11</v>
      </c>
    </row>
    <row r="24" spans="1:9" ht="24.75" customHeight="1">
      <c r="A24" s="215" t="s">
        <v>331</v>
      </c>
      <c r="B24" s="208">
        <v>80110</v>
      </c>
      <c r="C24" s="867" t="s">
        <v>1130</v>
      </c>
      <c r="D24" s="868">
        <v>162733</v>
      </c>
      <c r="E24" s="872">
        <v>85785.21</v>
      </c>
      <c r="F24" s="854">
        <f t="shared" si="0"/>
        <v>52.71531281301273</v>
      </c>
      <c r="G24" s="175" t="s">
        <v>308</v>
      </c>
      <c r="I24" s="226">
        <f>SUM(E23:E27)</f>
        <v>250974.11</v>
      </c>
    </row>
    <row r="25" spans="1:7" ht="24.75" customHeight="1" hidden="1">
      <c r="A25" s="215" t="s">
        <v>259</v>
      </c>
      <c r="B25" s="208">
        <v>80110</v>
      </c>
      <c r="C25" s="867" t="s">
        <v>592</v>
      </c>
      <c r="D25" s="868">
        <v>0</v>
      </c>
      <c r="E25" s="872">
        <v>0</v>
      </c>
      <c r="F25" s="854" t="e">
        <f t="shared" si="0"/>
        <v>#DIV/0!</v>
      </c>
      <c r="G25" s="175" t="s">
        <v>308</v>
      </c>
    </row>
    <row r="26" spans="1:7" ht="28.5" customHeight="1">
      <c r="A26" s="215" t="s">
        <v>259</v>
      </c>
      <c r="B26" s="208">
        <v>80110</v>
      </c>
      <c r="C26" s="207" t="s">
        <v>1155</v>
      </c>
      <c r="D26" s="853">
        <v>94424</v>
      </c>
      <c r="E26" s="874">
        <v>0</v>
      </c>
      <c r="F26" s="854">
        <f t="shared" si="0"/>
        <v>0</v>
      </c>
      <c r="G26" s="175" t="s">
        <v>282</v>
      </c>
    </row>
    <row r="27" spans="1:9" ht="32.25" customHeight="1">
      <c r="A27" s="215" t="s">
        <v>261</v>
      </c>
      <c r="B27" s="208">
        <v>80110</v>
      </c>
      <c r="C27" s="207" t="s">
        <v>476</v>
      </c>
      <c r="D27" s="875">
        <v>197816</v>
      </c>
      <c r="E27" s="876">
        <v>92566.5</v>
      </c>
      <c r="F27" s="854">
        <f t="shared" si="0"/>
        <v>46.79424313503458</v>
      </c>
      <c r="G27" s="175" t="s">
        <v>282</v>
      </c>
      <c r="H27" s="176">
        <v>174382</v>
      </c>
      <c r="I27" s="226">
        <v>91172.32</v>
      </c>
    </row>
    <row r="28" spans="1:7" ht="39.75" customHeight="1">
      <c r="A28" s="215" t="s">
        <v>332</v>
      </c>
      <c r="B28" s="1497">
        <v>85153</v>
      </c>
      <c r="C28" s="878" t="s">
        <v>486</v>
      </c>
      <c r="D28" s="875">
        <v>26052</v>
      </c>
      <c r="E28" s="875">
        <v>6392</v>
      </c>
      <c r="F28" s="879">
        <f>E28/D28*100</f>
        <v>24.53554429602334</v>
      </c>
      <c r="G28" s="175" t="s">
        <v>310</v>
      </c>
    </row>
    <row r="29" spans="1:7" ht="27.75" customHeight="1">
      <c r="A29" s="215" t="s">
        <v>262</v>
      </c>
      <c r="B29" s="877">
        <v>85154</v>
      </c>
      <c r="C29" s="207" t="s">
        <v>487</v>
      </c>
      <c r="D29" s="875">
        <v>89400</v>
      </c>
      <c r="E29" s="875">
        <v>40645</v>
      </c>
      <c r="F29" s="854">
        <f>E29/D29*100</f>
        <v>45.46420581655481</v>
      </c>
      <c r="G29" s="175" t="s">
        <v>310</v>
      </c>
    </row>
    <row r="30" spans="1:7" ht="27.75" customHeight="1">
      <c r="A30" s="215" t="s">
        <v>263</v>
      </c>
      <c r="B30" s="208">
        <v>92109</v>
      </c>
      <c r="C30" s="867" t="s">
        <v>99</v>
      </c>
      <c r="D30" s="853">
        <f>9W!D521</f>
        <v>1676478</v>
      </c>
      <c r="E30" s="853">
        <f>9W!E521</f>
        <v>1393903</v>
      </c>
      <c r="F30" s="854">
        <f t="shared" si="0"/>
        <v>83.14472364087092</v>
      </c>
      <c r="G30" s="175" t="s">
        <v>309</v>
      </c>
    </row>
    <row r="31" spans="1:7" ht="27" customHeight="1">
      <c r="A31" s="215" t="s">
        <v>333</v>
      </c>
      <c r="B31" s="208">
        <v>92116</v>
      </c>
      <c r="C31" s="867" t="s">
        <v>1294</v>
      </c>
      <c r="D31" s="853">
        <f>SUM(9W!D526)</f>
        <v>1222105</v>
      </c>
      <c r="E31" s="853">
        <f>SUM(9W!E526)</f>
        <v>692605</v>
      </c>
      <c r="F31" s="854">
        <f t="shared" si="0"/>
        <v>56.673117285339636</v>
      </c>
      <c r="G31" s="175" t="s">
        <v>309</v>
      </c>
    </row>
    <row r="32" spans="1:7" ht="24.75" customHeight="1">
      <c r="A32" s="215" t="s">
        <v>264</v>
      </c>
      <c r="B32" s="208">
        <v>92118</v>
      </c>
      <c r="C32" s="867" t="s">
        <v>1295</v>
      </c>
      <c r="D32" s="853">
        <f>SUM(9W!D531)</f>
        <v>411794</v>
      </c>
      <c r="E32" s="853">
        <f>SUM(9W!E531)</f>
        <v>216794</v>
      </c>
      <c r="F32" s="854">
        <f t="shared" si="0"/>
        <v>52.64622602563418</v>
      </c>
      <c r="G32" s="175" t="s">
        <v>309</v>
      </c>
    </row>
    <row r="33" spans="1:6" ht="18" customHeight="1">
      <c r="A33" s="1642" t="s">
        <v>1124</v>
      </c>
      <c r="B33" s="1643"/>
      <c r="C33" s="1644"/>
      <c r="D33" s="888">
        <f>SUM(D34:D53)</f>
        <v>4699899</v>
      </c>
      <c r="E33" s="888">
        <f>SUM(E34:E53)</f>
        <v>1316892.96</v>
      </c>
      <c r="F33" s="889">
        <f t="shared" si="0"/>
        <v>28.019601272282657</v>
      </c>
    </row>
    <row r="34" spans="1:10" ht="35.25" customHeight="1">
      <c r="A34" s="215" t="s">
        <v>171</v>
      </c>
      <c r="B34" s="208">
        <v>80120</v>
      </c>
      <c r="C34" s="207" t="s">
        <v>1259</v>
      </c>
      <c r="D34" s="868">
        <v>149923</v>
      </c>
      <c r="E34" s="872">
        <v>140809.35</v>
      </c>
      <c r="F34" s="854">
        <f t="shared" si="0"/>
        <v>93.92111283792347</v>
      </c>
      <c r="G34" s="175" t="s">
        <v>308</v>
      </c>
      <c r="H34" s="226">
        <v>1540115</v>
      </c>
      <c r="I34" s="226">
        <v>561035.46</v>
      </c>
      <c r="J34" s="873"/>
    </row>
    <row r="35" spans="1:9" ht="23.25" customHeight="1">
      <c r="A35" s="215" t="s">
        <v>172</v>
      </c>
      <c r="B35" s="208">
        <v>80120</v>
      </c>
      <c r="C35" s="867" t="s">
        <v>1260</v>
      </c>
      <c r="D35" s="868">
        <v>318130</v>
      </c>
      <c r="E35" s="872">
        <v>144041.04</v>
      </c>
      <c r="F35" s="854">
        <f t="shared" si="0"/>
        <v>45.277414893282625</v>
      </c>
      <c r="G35" s="175" t="s">
        <v>308</v>
      </c>
      <c r="H35" s="1333">
        <f>SUM(D34:D44)</f>
        <v>2779016</v>
      </c>
      <c r="I35" s="1333">
        <f>SUM(E34:E44)</f>
        <v>699503.77</v>
      </c>
    </row>
    <row r="36" spans="1:7" ht="34.5" customHeight="1">
      <c r="A36" s="215" t="s">
        <v>249</v>
      </c>
      <c r="B36" s="877">
        <v>80120</v>
      </c>
      <c r="C36" s="878" t="s">
        <v>593</v>
      </c>
      <c r="D36" s="886">
        <v>152833</v>
      </c>
      <c r="E36" s="900">
        <v>80792.25</v>
      </c>
      <c r="F36" s="879">
        <f t="shared" si="0"/>
        <v>52.86309239496706</v>
      </c>
      <c r="G36" s="175" t="s">
        <v>308</v>
      </c>
    </row>
    <row r="37" spans="1:7" ht="37.5" customHeight="1">
      <c r="A37" s="215" t="s">
        <v>256</v>
      </c>
      <c r="B37" s="877">
        <v>80120</v>
      </c>
      <c r="C37" s="878" t="s">
        <v>672</v>
      </c>
      <c r="D37" s="886">
        <v>48805</v>
      </c>
      <c r="E37" s="900">
        <v>4597.62</v>
      </c>
      <c r="F37" s="879">
        <f t="shared" si="0"/>
        <v>9.42038725540416</v>
      </c>
      <c r="G37" s="175" t="s">
        <v>308</v>
      </c>
    </row>
    <row r="38" spans="1:7" ht="48" customHeight="1">
      <c r="A38" s="215" t="s">
        <v>257</v>
      </c>
      <c r="B38" s="208">
        <v>80120</v>
      </c>
      <c r="C38" s="207" t="s">
        <v>1156</v>
      </c>
      <c r="D38" s="868">
        <v>164550</v>
      </c>
      <c r="E38" s="872">
        <v>100644.06</v>
      </c>
      <c r="F38" s="854">
        <f t="shared" si="0"/>
        <v>61.16320875113948</v>
      </c>
      <c r="G38" s="175" t="s">
        <v>308</v>
      </c>
    </row>
    <row r="39" spans="1:7" ht="36.75" customHeight="1">
      <c r="A39" s="215" t="s">
        <v>258</v>
      </c>
      <c r="B39" s="208">
        <v>80120</v>
      </c>
      <c r="C39" s="207" t="s">
        <v>1157</v>
      </c>
      <c r="D39" s="868">
        <v>472367</v>
      </c>
      <c r="E39" s="872">
        <v>103260.06</v>
      </c>
      <c r="F39" s="854">
        <f>E39/D39*100</f>
        <v>21.860134175334007</v>
      </c>
      <c r="G39" s="175" t="s">
        <v>308</v>
      </c>
    </row>
    <row r="40" spans="1:7" ht="39.75" customHeight="1" hidden="1">
      <c r="A40" s="215" t="s">
        <v>276</v>
      </c>
      <c r="B40" s="208">
        <v>80120</v>
      </c>
      <c r="C40" s="207" t="s">
        <v>1163</v>
      </c>
      <c r="D40" s="868">
        <v>0</v>
      </c>
      <c r="E40" s="872">
        <v>0</v>
      </c>
      <c r="F40" s="854" t="e">
        <f>E40/D40*100</f>
        <v>#DIV/0!</v>
      </c>
      <c r="G40" s="175" t="s">
        <v>810</v>
      </c>
    </row>
    <row r="41" spans="1:7" ht="25.5" customHeight="1">
      <c r="A41" s="215" t="s">
        <v>330</v>
      </c>
      <c r="B41" s="208">
        <v>80120</v>
      </c>
      <c r="C41" s="207" t="s">
        <v>1163</v>
      </c>
      <c r="D41" s="868">
        <v>48278</v>
      </c>
      <c r="E41" s="872">
        <v>22739.46</v>
      </c>
      <c r="F41" s="854">
        <f>E41/D41*100</f>
        <v>47.1010812378309</v>
      </c>
      <c r="G41" s="175" t="s">
        <v>308</v>
      </c>
    </row>
    <row r="42" spans="1:7" ht="33" customHeight="1">
      <c r="A42" s="215" t="s">
        <v>331</v>
      </c>
      <c r="B42" s="208">
        <v>80130</v>
      </c>
      <c r="C42" s="207" t="s">
        <v>477</v>
      </c>
      <c r="D42" s="868">
        <v>1092271</v>
      </c>
      <c r="E42" s="872">
        <v>102619.93</v>
      </c>
      <c r="F42" s="854">
        <f>E42/D42*100</f>
        <v>9.395097919838575</v>
      </c>
      <c r="G42" s="175" t="s">
        <v>308</v>
      </c>
    </row>
    <row r="43" spans="1:7" ht="39.75" customHeight="1" hidden="1">
      <c r="A43" s="215" t="s">
        <v>133</v>
      </c>
      <c r="B43" s="208">
        <v>80120</v>
      </c>
      <c r="C43" s="207" t="s">
        <v>1158</v>
      </c>
      <c r="D43" s="868"/>
      <c r="E43" s="872"/>
      <c r="F43" s="854" t="e">
        <f t="shared" si="0"/>
        <v>#DIV/0!</v>
      </c>
      <c r="G43" s="175" t="s">
        <v>281</v>
      </c>
    </row>
    <row r="44" spans="1:7" ht="34.5" customHeight="1">
      <c r="A44" s="215" t="s">
        <v>259</v>
      </c>
      <c r="B44" s="208">
        <v>80130</v>
      </c>
      <c r="C44" s="207" t="s">
        <v>67</v>
      </c>
      <c r="D44" s="868">
        <v>331859</v>
      </c>
      <c r="E44" s="872">
        <v>0</v>
      </c>
      <c r="F44" s="854">
        <f t="shared" si="0"/>
        <v>0</v>
      </c>
      <c r="G44" s="175" t="s">
        <v>308</v>
      </c>
    </row>
    <row r="45" spans="1:9" ht="35.25" customHeight="1" hidden="1">
      <c r="A45" s="215" t="s">
        <v>134</v>
      </c>
      <c r="B45" s="208"/>
      <c r="C45" s="207"/>
      <c r="D45" s="868"/>
      <c r="E45" s="872"/>
      <c r="F45" s="854" t="e">
        <f>E45/D45*100</f>
        <v>#DIV/0!</v>
      </c>
      <c r="G45" s="175" t="s">
        <v>308</v>
      </c>
      <c r="H45" s="226">
        <v>1729575</v>
      </c>
      <c r="I45" s="226">
        <v>627621.39</v>
      </c>
    </row>
    <row r="46" spans="1:9" ht="45" customHeight="1">
      <c r="A46" s="215" t="s">
        <v>261</v>
      </c>
      <c r="B46" s="208">
        <v>80130</v>
      </c>
      <c r="C46" s="207" t="s">
        <v>1139</v>
      </c>
      <c r="D46" s="868">
        <v>758726</v>
      </c>
      <c r="E46" s="872">
        <v>236091.9</v>
      </c>
      <c r="F46" s="854">
        <f t="shared" si="0"/>
        <v>31.116885410543464</v>
      </c>
      <c r="G46" s="175" t="s">
        <v>282</v>
      </c>
      <c r="H46" s="1333">
        <f>SUM(D45:D47)</f>
        <v>829655</v>
      </c>
      <c r="I46" s="1333">
        <f>SUM(E45:E47)</f>
        <v>236091.9</v>
      </c>
    </row>
    <row r="47" spans="1:7" ht="39.75" customHeight="1">
      <c r="A47" s="215" t="s">
        <v>332</v>
      </c>
      <c r="B47" s="208">
        <v>80130</v>
      </c>
      <c r="C47" s="207" t="s">
        <v>46</v>
      </c>
      <c r="D47" s="868">
        <v>70929</v>
      </c>
      <c r="E47" s="872">
        <v>0</v>
      </c>
      <c r="F47" s="854">
        <f t="shared" si="0"/>
        <v>0</v>
      </c>
      <c r="G47" s="175" t="s">
        <v>282</v>
      </c>
    </row>
    <row r="48" spans="1:7" ht="37.5" customHeight="1">
      <c r="A48" s="215" t="s">
        <v>262</v>
      </c>
      <c r="B48" s="877">
        <v>85111</v>
      </c>
      <c r="C48" s="878" t="s">
        <v>140</v>
      </c>
      <c r="D48" s="875">
        <f>9W!D709</f>
        <v>75000</v>
      </c>
      <c r="E48" s="875">
        <f>9W!E709</f>
        <v>17760</v>
      </c>
      <c r="F48" s="879">
        <f t="shared" si="0"/>
        <v>23.68</v>
      </c>
      <c r="G48" s="175" t="s">
        <v>310</v>
      </c>
    </row>
    <row r="49" spans="1:7" ht="39" customHeight="1">
      <c r="A49" s="215" t="s">
        <v>263</v>
      </c>
      <c r="B49" s="208">
        <v>85117</v>
      </c>
      <c r="C49" s="207" t="s">
        <v>1186</v>
      </c>
      <c r="D49" s="853">
        <f>9W!D717</f>
        <v>41988</v>
      </c>
      <c r="E49" s="853">
        <f>9W!E717</f>
        <v>0</v>
      </c>
      <c r="F49" s="854">
        <f t="shared" si="0"/>
        <v>0</v>
      </c>
      <c r="G49" s="175" t="s">
        <v>310</v>
      </c>
    </row>
    <row r="50" spans="1:7" ht="33" customHeight="1">
      <c r="A50" s="215" t="s">
        <v>333</v>
      </c>
      <c r="B50" s="877">
        <v>85149</v>
      </c>
      <c r="C50" s="878" t="s">
        <v>140</v>
      </c>
      <c r="D50" s="875">
        <v>153300</v>
      </c>
      <c r="E50" s="875">
        <v>0</v>
      </c>
      <c r="F50" s="854">
        <f t="shared" si="0"/>
        <v>0</v>
      </c>
      <c r="G50" s="175" t="s">
        <v>310</v>
      </c>
    </row>
    <row r="51" spans="1:7" ht="26.25" customHeight="1">
      <c r="A51" s="215" t="s">
        <v>264</v>
      </c>
      <c r="B51" s="884">
        <v>85311</v>
      </c>
      <c r="C51" s="885" t="s">
        <v>306</v>
      </c>
      <c r="D51" s="886">
        <f>SUM(9W!D781)</f>
        <v>41100</v>
      </c>
      <c r="E51" s="886">
        <f>SUM(9W!E781)</f>
        <v>13700</v>
      </c>
      <c r="F51" s="879">
        <f>E51/D51*100</f>
        <v>33.33333333333333</v>
      </c>
      <c r="G51" s="175" t="s">
        <v>281</v>
      </c>
    </row>
    <row r="52" spans="1:7" ht="49.5" customHeight="1">
      <c r="A52" s="901" t="s">
        <v>265</v>
      </c>
      <c r="B52" s="902">
        <v>85404</v>
      </c>
      <c r="C52" s="207" t="s">
        <v>712</v>
      </c>
      <c r="D52" s="567">
        <f>9W!D820</f>
        <v>51689</v>
      </c>
      <c r="E52" s="567">
        <f>9W!E820</f>
        <v>21504.6</v>
      </c>
      <c r="F52" s="879">
        <f>E52/D52*100</f>
        <v>41.60382286366538</v>
      </c>
      <c r="G52" s="175" t="s">
        <v>308</v>
      </c>
    </row>
    <row r="53" spans="1:7" ht="50.25" customHeight="1" thickBot="1">
      <c r="A53" s="890" t="s">
        <v>266</v>
      </c>
      <c r="B53" s="891">
        <v>85419</v>
      </c>
      <c r="C53" s="917" t="s">
        <v>712</v>
      </c>
      <c r="D53" s="893">
        <f>SUM(9W!D845)</f>
        <v>728151</v>
      </c>
      <c r="E53" s="893">
        <f>SUM(9W!E845)</f>
        <v>328332.69</v>
      </c>
      <c r="F53" s="894">
        <f t="shared" si="0"/>
        <v>45.09129150409736</v>
      </c>
      <c r="G53" s="175" t="s">
        <v>308</v>
      </c>
    </row>
    <row r="54" spans="1:6" ht="18.75" customHeight="1" thickBot="1" thickTop="1">
      <c r="A54" s="1630" t="s">
        <v>1125</v>
      </c>
      <c r="B54" s="1631"/>
      <c r="C54" s="1632"/>
      <c r="D54" s="895">
        <f>SUM(D16,D33)</f>
        <v>10035445</v>
      </c>
      <c r="E54" s="895">
        <f>SUM(E16,E33)</f>
        <v>4512895.6</v>
      </c>
      <c r="F54" s="896">
        <f t="shared" si="0"/>
        <v>44.969561389654366</v>
      </c>
    </row>
    <row r="55" ht="15.75" customHeight="1"/>
    <row r="56" spans="1:6" ht="64.5" customHeight="1" thickBot="1">
      <c r="A56" s="1639" t="s">
        <v>68</v>
      </c>
      <c r="B56" s="1639"/>
      <c r="C56" s="1639"/>
      <c r="D56" s="1639"/>
      <c r="E56" s="1639"/>
      <c r="F56" s="1639"/>
    </row>
    <row r="57" spans="1:10" s="570" customFormat="1" ht="20.25" customHeight="1">
      <c r="A57" s="194" t="s">
        <v>168</v>
      </c>
      <c r="B57" s="195" t="s">
        <v>1352</v>
      </c>
      <c r="C57" s="750" t="s">
        <v>98</v>
      </c>
      <c r="D57" s="196" t="s">
        <v>1354</v>
      </c>
      <c r="E57" s="856" t="s">
        <v>1355</v>
      </c>
      <c r="F57" s="197" t="s">
        <v>505</v>
      </c>
      <c r="G57" s="563"/>
      <c r="H57" s="880"/>
      <c r="I57" s="881"/>
      <c r="J57" s="857"/>
    </row>
    <row r="58" spans="1:10" s="737" customFormat="1" ht="9.75" customHeight="1">
      <c r="A58" s="858">
        <v>1</v>
      </c>
      <c r="B58" s="859">
        <v>2</v>
      </c>
      <c r="C58" s="859">
        <v>3</v>
      </c>
      <c r="D58" s="859">
        <v>4</v>
      </c>
      <c r="E58" s="860">
        <v>5</v>
      </c>
      <c r="F58" s="861">
        <v>6</v>
      </c>
      <c r="G58" s="185"/>
      <c r="H58" s="882"/>
      <c r="I58" s="883"/>
      <c r="J58" s="870"/>
    </row>
    <row r="59" spans="1:6" ht="15.75" customHeight="1">
      <c r="A59" s="1633" t="s">
        <v>1123</v>
      </c>
      <c r="B59" s="1634"/>
      <c r="C59" s="1635"/>
      <c r="D59" s="864">
        <f>SUM(D61:D75)</f>
        <v>3689640</v>
      </c>
      <c r="E59" s="864">
        <f>SUM(E61:E75)</f>
        <v>2311800.23</v>
      </c>
      <c r="F59" s="865">
        <f>E59/D59*100</f>
        <v>62.65652556889019</v>
      </c>
    </row>
    <row r="60" spans="1:7" ht="24" customHeight="1" hidden="1">
      <c r="A60" s="215" t="s">
        <v>171</v>
      </c>
      <c r="B60" s="208">
        <v>75095</v>
      </c>
      <c r="C60" s="867" t="s">
        <v>382</v>
      </c>
      <c r="D60" s="853"/>
      <c r="E60" s="853"/>
      <c r="F60" s="854" t="e">
        <f aca="true" t="shared" si="1" ref="F60:F80">E60/D60*100</f>
        <v>#DIV/0!</v>
      </c>
      <c r="G60" s="175" t="s">
        <v>278</v>
      </c>
    </row>
    <row r="61" spans="1:7" ht="24" customHeight="1">
      <c r="A61" s="215" t="s">
        <v>171</v>
      </c>
      <c r="B61" s="208">
        <v>75415</v>
      </c>
      <c r="C61" s="1500" t="s">
        <v>805</v>
      </c>
      <c r="D61" s="853">
        <v>19000</v>
      </c>
      <c r="E61" s="853">
        <v>0</v>
      </c>
      <c r="F61" s="854">
        <f t="shared" si="1"/>
        <v>0</v>
      </c>
      <c r="G61" s="175" t="s">
        <v>1153</v>
      </c>
    </row>
    <row r="62" spans="1:7" ht="24" customHeight="1" hidden="1">
      <c r="A62" s="215" t="s">
        <v>249</v>
      </c>
      <c r="B62" s="208">
        <v>80113</v>
      </c>
      <c r="C62" s="1500" t="s">
        <v>159</v>
      </c>
      <c r="D62" s="853"/>
      <c r="E62" s="853"/>
      <c r="F62" s="854" t="e">
        <f t="shared" si="1"/>
        <v>#DIV/0!</v>
      </c>
      <c r="G62" s="175" t="s">
        <v>278</v>
      </c>
    </row>
    <row r="63" spans="1:7" ht="24" customHeight="1">
      <c r="A63" s="215" t="s">
        <v>172</v>
      </c>
      <c r="B63" s="208">
        <v>80195</v>
      </c>
      <c r="C63" s="1500" t="s">
        <v>101</v>
      </c>
      <c r="D63" s="853">
        <f>SUM(9W!D293)</f>
        <v>5000</v>
      </c>
      <c r="E63" s="853">
        <f>SUM(9W!E293)</f>
        <v>0</v>
      </c>
      <c r="F63" s="854">
        <f t="shared" si="1"/>
        <v>0</v>
      </c>
      <c r="G63" s="175" t="s">
        <v>1153</v>
      </c>
    </row>
    <row r="64" spans="1:7" ht="24" customHeight="1">
      <c r="A64" s="215" t="s">
        <v>249</v>
      </c>
      <c r="B64" s="208">
        <v>85149</v>
      </c>
      <c r="C64" s="1500" t="s">
        <v>667</v>
      </c>
      <c r="D64" s="853">
        <f>SUM(9W!D301)</f>
        <v>11000</v>
      </c>
      <c r="E64" s="853">
        <f>SUM(9W!E301)</f>
        <v>6000</v>
      </c>
      <c r="F64" s="854">
        <f t="shared" si="1"/>
        <v>54.54545454545454</v>
      </c>
      <c r="G64" s="175" t="s">
        <v>1153</v>
      </c>
    </row>
    <row r="65" spans="1:7" ht="35.25" customHeight="1">
      <c r="A65" s="215" t="s">
        <v>256</v>
      </c>
      <c r="B65" s="208">
        <v>85152</v>
      </c>
      <c r="C65" s="1499" t="s">
        <v>1136</v>
      </c>
      <c r="D65" s="853">
        <v>6500</v>
      </c>
      <c r="E65" s="853">
        <v>6500</v>
      </c>
      <c r="F65" s="854">
        <f t="shared" si="1"/>
        <v>100</v>
      </c>
      <c r="G65" s="175" t="s">
        <v>278</v>
      </c>
    </row>
    <row r="66" spans="1:7" ht="40.5" customHeight="1" hidden="1">
      <c r="A66" s="215"/>
      <c r="B66" s="877">
        <v>85153</v>
      </c>
      <c r="C66" s="1501" t="s">
        <v>486</v>
      </c>
      <c r="D66" s="875">
        <v>0</v>
      </c>
      <c r="E66" s="875">
        <v>0</v>
      </c>
      <c r="F66" s="879" t="e">
        <f t="shared" si="1"/>
        <v>#DIV/0!</v>
      </c>
      <c r="G66" s="175" t="s">
        <v>1153</v>
      </c>
    </row>
    <row r="67" spans="1:7" ht="29.25" customHeight="1">
      <c r="A67" s="215" t="s">
        <v>257</v>
      </c>
      <c r="B67" s="208">
        <v>85154</v>
      </c>
      <c r="C67" s="1499" t="s">
        <v>487</v>
      </c>
      <c r="D67" s="853">
        <v>649000</v>
      </c>
      <c r="E67" s="853">
        <v>321721.54</v>
      </c>
      <c r="F67" s="854">
        <f t="shared" si="1"/>
        <v>49.57188597842835</v>
      </c>
      <c r="G67" s="175" t="s">
        <v>1153</v>
      </c>
    </row>
    <row r="68" spans="1:7" ht="28.5" customHeight="1">
      <c r="A68" s="215" t="s">
        <v>258</v>
      </c>
      <c r="B68" s="877">
        <v>85195</v>
      </c>
      <c r="C68" s="1501" t="s">
        <v>488</v>
      </c>
      <c r="D68" s="875">
        <f>9W!D332</f>
        <v>18000</v>
      </c>
      <c r="E68" s="875">
        <f>9W!E332</f>
        <v>9000</v>
      </c>
      <c r="F68" s="879">
        <f t="shared" si="1"/>
        <v>50</v>
      </c>
      <c r="G68" s="175" t="s">
        <v>1153</v>
      </c>
    </row>
    <row r="69" spans="1:7" ht="24" customHeight="1">
      <c r="A69" s="215" t="s">
        <v>330</v>
      </c>
      <c r="B69" s="913">
        <v>85203</v>
      </c>
      <c r="C69" s="1500" t="s">
        <v>1046</v>
      </c>
      <c r="D69" s="868">
        <f>SUM(9W!D350)</f>
        <v>217000</v>
      </c>
      <c r="E69" s="868">
        <f>SUM(9W!E350)</f>
        <v>91200</v>
      </c>
      <c r="F69" s="854">
        <f t="shared" si="1"/>
        <v>42.02764976958525</v>
      </c>
      <c r="G69" s="175" t="s">
        <v>1153</v>
      </c>
    </row>
    <row r="70" spans="1:7" ht="24" customHeight="1">
      <c r="A70" s="215" t="s">
        <v>331</v>
      </c>
      <c r="B70" s="884">
        <v>85305</v>
      </c>
      <c r="C70" s="1502" t="s">
        <v>807</v>
      </c>
      <c r="D70" s="886">
        <f>9W!D420</f>
        <v>48000</v>
      </c>
      <c r="E70" s="886">
        <f>9W!E420</f>
        <v>22400</v>
      </c>
      <c r="F70" s="854">
        <f t="shared" si="1"/>
        <v>46.666666666666664</v>
      </c>
      <c r="G70" s="175" t="s">
        <v>808</v>
      </c>
    </row>
    <row r="71" spans="1:7" ht="21.75" customHeight="1">
      <c r="A71" s="215" t="s">
        <v>259</v>
      </c>
      <c r="B71" s="877">
        <v>85395</v>
      </c>
      <c r="C71" s="1502" t="s">
        <v>1131</v>
      </c>
      <c r="D71" s="875">
        <f>SUM(9W!D428)</f>
        <v>748900</v>
      </c>
      <c r="E71" s="875">
        <f>SUM(9W!E428)</f>
        <v>359956</v>
      </c>
      <c r="F71" s="879">
        <f t="shared" si="1"/>
        <v>48.06462812124449</v>
      </c>
      <c r="G71" s="175" t="s">
        <v>1153</v>
      </c>
    </row>
    <row r="72" spans="1:7" ht="22.5" customHeight="1">
      <c r="A72" s="215" t="s">
        <v>261</v>
      </c>
      <c r="B72" s="877">
        <v>90013</v>
      </c>
      <c r="C72" s="1502" t="s">
        <v>695</v>
      </c>
      <c r="D72" s="875">
        <f>SUM(9W!D492)</f>
        <v>340000</v>
      </c>
      <c r="E72" s="875">
        <f>SUM(9W!E492)</f>
        <v>170002</v>
      </c>
      <c r="F72" s="879">
        <f t="shared" si="1"/>
        <v>50.00058823529412</v>
      </c>
      <c r="G72" s="175" t="s">
        <v>1153</v>
      </c>
    </row>
    <row r="73" spans="1:7" ht="24" customHeight="1">
      <c r="A73" s="215" t="s">
        <v>332</v>
      </c>
      <c r="B73" s="877">
        <v>90095</v>
      </c>
      <c r="C73" s="1501" t="s">
        <v>1185</v>
      </c>
      <c r="D73" s="875">
        <f>SUM(9W!D511)</f>
        <v>22000</v>
      </c>
      <c r="E73" s="875">
        <f>SUM(9W!E511)</f>
        <v>20000</v>
      </c>
      <c r="F73" s="879">
        <f t="shared" si="1"/>
        <v>90.9090909090909</v>
      </c>
      <c r="G73" s="175" t="s">
        <v>1153</v>
      </c>
    </row>
    <row r="74" spans="1:7" ht="30" customHeight="1">
      <c r="A74" s="215" t="s">
        <v>262</v>
      </c>
      <c r="B74" s="208">
        <v>92195</v>
      </c>
      <c r="C74" s="1499" t="s">
        <v>661</v>
      </c>
      <c r="D74" s="853">
        <f>SUM(9W!D546)</f>
        <v>435240</v>
      </c>
      <c r="E74" s="853">
        <f>SUM(9W!E546)</f>
        <v>293290.69</v>
      </c>
      <c r="F74" s="854">
        <f t="shared" si="1"/>
        <v>67.38596866096867</v>
      </c>
      <c r="G74" s="871" t="s">
        <v>809</v>
      </c>
    </row>
    <row r="75" spans="1:7" ht="24" customHeight="1">
      <c r="A75" s="215" t="s">
        <v>263</v>
      </c>
      <c r="B75" s="208">
        <v>92605</v>
      </c>
      <c r="C75" s="1500" t="s">
        <v>82</v>
      </c>
      <c r="D75" s="853">
        <f>9W!D560-D10</f>
        <v>1170000</v>
      </c>
      <c r="E75" s="853">
        <f>9W!E560-E10</f>
        <v>1011730</v>
      </c>
      <c r="F75" s="854">
        <f t="shared" si="1"/>
        <v>86.47264957264957</v>
      </c>
      <c r="G75" s="175" t="s">
        <v>1153</v>
      </c>
    </row>
    <row r="76" spans="1:6" ht="17.25" customHeight="1">
      <c r="A76" s="1633" t="s">
        <v>1124</v>
      </c>
      <c r="B76" s="1634"/>
      <c r="C76" s="1635"/>
      <c r="D76" s="864">
        <f>SUM(D77,D78,D79)</f>
        <v>35000</v>
      </c>
      <c r="E76" s="864">
        <f>SUM(E77,E78,E79)</f>
        <v>17496</v>
      </c>
      <c r="F76" s="865">
        <f t="shared" si="1"/>
        <v>49.988571428571426</v>
      </c>
    </row>
    <row r="77" spans="1:7" ht="30.75" customHeight="1" hidden="1">
      <c r="A77" s="215" t="s">
        <v>265</v>
      </c>
      <c r="B77" s="208">
        <v>85201</v>
      </c>
      <c r="C77" s="207" t="s">
        <v>489</v>
      </c>
      <c r="D77" s="853">
        <f>SUM(9W!D741)</f>
        <v>0</v>
      </c>
      <c r="E77" s="853">
        <f>SUM(9W!E741)</f>
        <v>0</v>
      </c>
      <c r="F77" s="854" t="e">
        <f t="shared" si="1"/>
        <v>#DIV/0!</v>
      </c>
      <c r="G77" s="175" t="s">
        <v>280</v>
      </c>
    </row>
    <row r="78" spans="1:7" ht="26.25" customHeight="1" hidden="1">
      <c r="A78" s="215" t="s">
        <v>263</v>
      </c>
      <c r="B78" s="913">
        <v>85204</v>
      </c>
      <c r="C78" s="1334" t="s">
        <v>490</v>
      </c>
      <c r="D78" s="868">
        <f>SUM(9W!D754)</f>
        <v>0</v>
      </c>
      <c r="E78" s="868">
        <f>SUM(9W!E754)</f>
        <v>0</v>
      </c>
      <c r="F78" s="854" t="e">
        <f>E78/D78*100</f>
        <v>#DIV/0!</v>
      </c>
      <c r="G78" s="175" t="s">
        <v>280</v>
      </c>
    </row>
    <row r="79" spans="1:7" ht="24.75" customHeight="1" thickBot="1">
      <c r="A79" s="890" t="s">
        <v>333</v>
      </c>
      <c r="B79" s="910">
        <v>85321</v>
      </c>
      <c r="C79" s="911" t="s">
        <v>664</v>
      </c>
      <c r="D79" s="912">
        <f>SUM(9W!D787)</f>
        <v>35000</v>
      </c>
      <c r="E79" s="912">
        <f>SUM(9W!E787)</f>
        <v>17496</v>
      </c>
      <c r="F79" s="894">
        <f>E79/D79*100</f>
        <v>49.988571428571426</v>
      </c>
      <c r="G79" s="175" t="s">
        <v>280</v>
      </c>
    </row>
    <row r="80" spans="1:6" ht="18" customHeight="1" thickBot="1" thickTop="1">
      <c r="A80" s="1630" t="s">
        <v>1125</v>
      </c>
      <c r="B80" s="1631"/>
      <c r="C80" s="1632"/>
      <c r="D80" s="895">
        <f>SUM(D59,D76)</f>
        <v>3724640</v>
      </c>
      <c r="E80" s="895">
        <f>SUM(E59,E76)</f>
        <v>2329296.23</v>
      </c>
      <c r="F80" s="896">
        <f t="shared" si="1"/>
        <v>62.53748630740152</v>
      </c>
    </row>
    <row r="81" ht="15" customHeight="1"/>
    <row r="82" spans="1:6" ht="30.75" customHeight="1" thickBot="1">
      <c r="A82" s="1639" t="s">
        <v>1280</v>
      </c>
      <c r="B82" s="1639"/>
      <c r="C82" s="1639"/>
      <c r="D82" s="1639"/>
      <c r="E82" s="1639"/>
      <c r="F82" s="1639"/>
    </row>
    <row r="83" spans="1:6" ht="17.25" customHeight="1">
      <c r="A83" s="194" t="s">
        <v>168</v>
      </c>
      <c r="B83" s="195" t="s">
        <v>1352</v>
      </c>
      <c r="C83" s="750" t="s">
        <v>98</v>
      </c>
      <c r="D83" s="196" t="s">
        <v>1354</v>
      </c>
      <c r="E83" s="856" t="s">
        <v>1355</v>
      </c>
      <c r="F83" s="197" t="s">
        <v>1356</v>
      </c>
    </row>
    <row r="84" spans="1:6" ht="12" customHeight="1">
      <c r="A84" s="858">
        <v>1</v>
      </c>
      <c r="B84" s="859">
        <v>2</v>
      </c>
      <c r="C84" s="859">
        <v>3</v>
      </c>
      <c r="D84" s="859">
        <v>4</v>
      </c>
      <c r="E84" s="860">
        <v>5</v>
      </c>
      <c r="F84" s="861">
        <v>6</v>
      </c>
    </row>
    <row r="85" spans="1:6" ht="18" customHeight="1">
      <c r="A85" s="1633" t="s">
        <v>1123</v>
      </c>
      <c r="B85" s="1634"/>
      <c r="C85" s="1635"/>
      <c r="D85" s="864">
        <f>SUM(D86,D87)</f>
        <v>2787193</v>
      </c>
      <c r="E85" s="864">
        <f>SUM(E86,E87)</f>
        <v>536.12</v>
      </c>
      <c r="F85" s="865">
        <f aca="true" t="shared" si="2" ref="F85:F92">E85/D85*100</f>
        <v>0.01923512293551254</v>
      </c>
    </row>
    <row r="86" spans="1:7" ht="24" customHeight="1">
      <c r="A86" s="215" t="s">
        <v>171</v>
      </c>
      <c r="B86" s="852" t="s">
        <v>653</v>
      </c>
      <c r="C86" s="207" t="s">
        <v>654</v>
      </c>
      <c r="D86" s="853">
        <f>SUM(9W!D16)</f>
        <v>1900</v>
      </c>
      <c r="E86" s="853">
        <f>SUM(9W!E16)</f>
        <v>536.12</v>
      </c>
      <c r="F86" s="854">
        <f t="shared" si="2"/>
        <v>28.216842105263158</v>
      </c>
      <c r="G86" s="175" t="s">
        <v>1162</v>
      </c>
    </row>
    <row r="87" spans="1:7" ht="24" customHeight="1">
      <c r="A87" s="215" t="s">
        <v>172</v>
      </c>
      <c r="B87" s="852" t="s">
        <v>686</v>
      </c>
      <c r="C87" s="207" t="s">
        <v>1159</v>
      </c>
      <c r="D87" s="853">
        <f>9W!D501</f>
        <v>2785293</v>
      </c>
      <c r="E87" s="853">
        <f>9W!E501</f>
        <v>0</v>
      </c>
      <c r="F87" s="854">
        <f t="shared" si="2"/>
        <v>0</v>
      </c>
      <c r="G87" s="175" t="s">
        <v>1160</v>
      </c>
    </row>
    <row r="88" spans="1:6" ht="18" customHeight="1">
      <c r="A88" s="1633" t="s">
        <v>1124</v>
      </c>
      <c r="B88" s="1634"/>
      <c r="C88" s="1635"/>
      <c r="D88" s="864">
        <f>SUM(D89,D90,D91)</f>
        <v>172000</v>
      </c>
      <c r="E88" s="864">
        <f>SUM(E89,E90,E91)</f>
        <v>130000</v>
      </c>
      <c r="F88" s="865">
        <f t="shared" si="2"/>
        <v>75.5813953488372</v>
      </c>
    </row>
    <row r="89" spans="1:7" ht="21.75" customHeight="1" hidden="1">
      <c r="A89" s="215" t="s">
        <v>249</v>
      </c>
      <c r="B89" s="208">
        <v>71014</v>
      </c>
      <c r="C89" s="207" t="s">
        <v>1159</v>
      </c>
      <c r="D89" s="853">
        <v>0</v>
      </c>
      <c r="E89" s="853">
        <v>0</v>
      </c>
      <c r="F89" s="854" t="e">
        <f>E89/D89*100</f>
        <v>#DIV/0!</v>
      </c>
      <c r="G89" s="175" t="s">
        <v>1160</v>
      </c>
    </row>
    <row r="90" spans="1:7" ht="24" customHeight="1">
      <c r="A90" s="215" t="s">
        <v>249</v>
      </c>
      <c r="B90" s="208">
        <v>75405</v>
      </c>
      <c r="C90" s="207" t="s">
        <v>682</v>
      </c>
      <c r="D90" s="853">
        <f>SUM(9W!D633)</f>
        <v>130000</v>
      </c>
      <c r="E90" s="853">
        <f>SUM(9W!E633)</f>
        <v>130000</v>
      </c>
      <c r="F90" s="854">
        <f t="shared" si="2"/>
        <v>100</v>
      </c>
      <c r="G90" s="175" t="s">
        <v>1161</v>
      </c>
    </row>
    <row r="91" spans="1:7" ht="24" customHeight="1" thickBot="1">
      <c r="A91" s="890" t="s">
        <v>256</v>
      </c>
      <c r="B91" s="891">
        <v>75411</v>
      </c>
      <c r="C91" s="1498" t="s">
        <v>221</v>
      </c>
      <c r="D91" s="893">
        <f>SUM(9W!D645)</f>
        <v>42000</v>
      </c>
      <c r="E91" s="893">
        <f>SUM(9W!E645)</f>
        <v>0</v>
      </c>
      <c r="F91" s="894">
        <f t="shared" si="2"/>
        <v>0</v>
      </c>
      <c r="G91" s="175" t="s">
        <v>1161</v>
      </c>
    </row>
    <row r="92" spans="1:6" ht="17.25" customHeight="1" thickBot="1" thickTop="1">
      <c r="A92" s="1630" t="s">
        <v>1126</v>
      </c>
      <c r="B92" s="1631"/>
      <c r="C92" s="1632"/>
      <c r="D92" s="895">
        <f>SUM(D85,D88)</f>
        <v>2959193</v>
      </c>
      <c r="E92" s="895">
        <f>SUM(E85,E88)</f>
        <v>130536.12</v>
      </c>
      <c r="F92" s="896">
        <f t="shared" si="2"/>
        <v>4.411206703989905</v>
      </c>
    </row>
    <row r="93" ht="15" customHeight="1"/>
    <row r="94" spans="1:7" ht="48.75" customHeight="1" thickBot="1">
      <c r="A94" s="1639" t="s">
        <v>69</v>
      </c>
      <c r="B94" s="1639"/>
      <c r="C94" s="1639"/>
      <c r="D94" s="1639"/>
      <c r="E94" s="1639"/>
      <c r="F94" s="1639"/>
      <c r="G94" s="897"/>
    </row>
    <row r="95" spans="1:6" ht="20.25" customHeight="1">
      <c r="A95" s="194" t="s">
        <v>168</v>
      </c>
      <c r="B95" s="195" t="s">
        <v>1352</v>
      </c>
      <c r="C95" s="750" t="s">
        <v>98</v>
      </c>
      <c r="D95" s="196" t="s">
        <v>1354</v>
      </c>
      <c r="E95" s="856" t="s">
        <v>1355</v>
      </c>
      <c r="F95" s="197" t="s">
        <v>1356</v>
      </c>
    </row>
    <row r="96" spans="1:10" s="737" customFormat="1" ht="10.5" customHeight="1">
      <c r="A96" s="858">
        <v>1</v>
      </c>
      <c r="B96" s="859">
        <v>2</v>
      </c>
      <c r="C96" s="859">
        <v>3</v>
      </c>
      <c r="D96" s="859">
        <v>4</v>
      </c>
      <c r="E96" s="860">
        <v>5</v>
      </c>
      <c r="F96" s="861">
        <v>6</v>
      </c>
      <c r="G96" s="185"/>
      <c r="H96" s="882"/>
      <c r="I96" s="883"/>
      <c r="J96" s="870"/>
    </row>
    <row r="97" spans="1:6" ht="18.75" customHeight="1">
      <c r="A97" s="1633" t="s">
        <v>1123</v>
      </c>
      <c r="B97" s="1634"/>
      <c r="C97" s="1635"/>
      <c r="D97" s="864">
        <f>SUM(D98:D104)</f>
        <v>5223143</v>
      </c>
      <c r="E97" s="864">
        <f>SUM(E98:E104)</f>
        <v>445638.63</v>
      </c>
      <c r="F97" s="865">
        <f>E97/D97*100</f>
        <v>8.532001325638605</v>
      </c>
    </row>
    <row r="98" spans="1:7" ht="24" customHeight="1">
      <c r="A98" s="215" t="s">
        <v>171</v>
      </c>
      <c r="B98" s="208">
        <v>70001</v>
      </c>
      <c r="C98" s="207" t="s">
        <v>246</v>
      </c>
      <c r="D98" s="853">
        <f>SUM(9W!D75+9W!D76)</f>
        <v>3258983</v>
      </c>
      <c r="E98" s="853">
        <f>SUM(9W!E75+9W!E76)</f>
        <v>394738.63</v>
      </c>
      <c r="F98" s="854">
        <f aca="true" t="shared" si="3" ref="F98:F110">E98/D98*100</f>
        <v>12.112325532228919</v>
      </c>
      <c r="G98" s="175" t="s">
        <v>311</v>
      </c>
    </row>
    <row r="99" spans="1:7" ht="24" customHeight="1">
      <c r="A99" s="215" t="s">
        <v>172</v>
      </c>
      <c r="B99" s="208">
        <v>85154</v>
      </c>
      <c r="C99" s="1499" t="s">
        <v>1471</v>
      </c>
      <c r="D99" s="853">
        <v>40520</v>
      </c>
      <c r="E99" s="853">
        <v>0</v>
      </c>
      <c r="F99" s="854">
        <f t="shared" si="3"/>
        <v>0</v>
      </c>
      <c r="G99" s="175" t="s">
        <v>311</v>
      </c>
    </row>
    <row r="100" spans="1:7" ht="24" customHeight="1">
      <c r="A100" s="215" t="s">
        <v>249</v>
      </c>
      <c r="B100" s="208">
        <v>92109</v>
      </c>
      <c r="C100" s="867" t="s">
        <v>99</v>
      </c>
      <c r="D100" s="853">
        <f>9W!D523</f>
        <v>125000</v>
      </c>
      <c r="E100" s="853">
        <f>9W!E523</f>
        <v>0</v>
      </c>
      <c r="F100" s="854">
        <f t="shared" si="3"/>
        <v>0</v>
      </c>
      <c r="G100" s="175" t="s">
        <v>312</v>
      </c>
    </row>
    <row r="101" spans="1:7" ht="24" customHeight="1">
      <c r="A101" s="215" t="s">
        <v>256</v>
      </c>
      <c r="B101" s="208">
        <v>92116</v>
      </c>
      <c r="C101" s="867" t="s">
        <v>1294</v>
      </c>
      <c r="D101" s="853">
        <f>9W!D528</f>
        <v>125000</v>
      </c>
      <c r="E101" s="853">
        <f>9W!E528</f>
        <v>0</v>
      </c>
      <c r="F101" s="854">
        <f t="shared" si="3"/>
        <v>0</v>
      </c>
      <c r="G101" s="175" t="s">
        <v>312</v>
      </c>
    </row>
    <row r="102" spans="1:7" ht="24" customHeight="1">
      <c r="A102" s="215" t="s">
        <v>257</v>
      </c>
      <c r="B102" s="208">
        <v>92118</v>
      </c>
      <c r="C102" s="867" t="s">
        <v>1295</v>
      </c>
      <c r="D102" s="853">
        <f>9W!D533</f>
        <v>69000</v>
      </c>
      <c r="E102" s="853">
        <f>9W!E533</f>
        <v>4000</v>
      </c>
      <c r="F102" s="854">
        <f t="shared" si="3"/>
        <v>5.797101449275362</v>
      </c>
      <c r="G102" s="175" t="s">
        <v>312</v>
      </c>
    </row>
    <row r="103" spans="1:7" ht="24" customHeight="1">
      <c r="A103" s="215" t="s">
        <v>258</v>
      </c>
      <c r="B103" s="208">
        <v>92120</v>
      </c>
      <c r="C103" s="867" t="s">
        <v>1252</v>
      </c>
      <c r="D103" s="853">
        <v>400000</v>
      </c>
      <c r="E103" s="853">
        <v>0</v>
      </c>
      <c r="F103" s="854">
        <f t="shared" si="3"/>
        <v>0</v>
      </c>
      <c r="G103" s="175" t="s">
        <v>1253</v>
      </c>
    </row>
    <row r="104" spans="1:7" ht="24" customHeight="1">
      <c r="A104" s="215" t="s">
        <v>330</v>
      </c>
      <c r="B104" s="208">
        <v>92605</v>
      </c>
      <c r="C104" s="867" t="s">
        <v>662</v>
      </c>
      <c r="D104" s="853">
        <f>9W!D563</f>
        <v>1204640</v>
      </c>
      <c r="E104" s="853">
        <f>9W!E563</f>
        <v>46900</v>
      </c>
      <c r="F104" s="854">
        <f t="shared" si="3"/>
        <v>3.8932793199628106</v>
      </c>
      <c r="G104" s="175" t="s">
        <v>311</v>
      </c>
    </row>
    <row r="105" spans="1:10" s="175" customFormat="1" ht="20.25" customHeight="1">
      <c r="A105" s="1633" t="s">
        <v>1124</v>
      </c>
      <c r="B105" s="1634"/>
      <c r="C105" s="1635"/>
      <c r="D105" s="898">
        <f>SUM(D106,D107,D108,D109)</f>
        <v>356000</v>
      </c>
      <c r="E105" s="898">
        <f>SUM(E106,E107,E108,E109)</f>
        <v>0</v>
      </c>
      <c r="F105" s="865">
        <f>E105/D105*100</f>
        <v>0</v>
      </c>
      <c r="H105" s="176"/>
      <c r="I105" s="226"/>
      <c r="J105" s="225"/>
    </row>
    <row r="106" spans="1:10" s="175" customFormat="1" ht="20.25" customHeight="1">
      <c r="A106" s="215" t="s">
        <v>331</v>
      </c>
      <c r="B106" s="208">
        <v>75405</v>
      </c>
      <c r="C106" s="207" t="s">
        <v>316</v>
      </c>
      <c r="D106" s="853">
        <f>SUM(9W!D635)</f>
        <v>35000</v>
      </c>
      <c r="E106" s="853">
        <f>SUM(9W!E635)</f>
        <v>0</v>
      </c>
      <c r="F106" s="854">
        <f>E106/D106*100</f>
        <v>0</v>
      </c>
      <c r="G106" s="175" t="s">
        <v>315</v>
      </c>
      <c r="H106" s="176"/>
      <c r="I106" s="226"/>
      <c r="J106" s="225"/>
    </row>
    <row r="107" spans="1:10" s="175" customFormat="1" ht="20.25" customHeight="1">
      <c r="A107" s="215" t="s">
        <v>259</v>
      </c>
      <c r="B107" s="208">
        <v>75411</v>
      </c>
      <c r="C107" s="207" t="s">
        <v>70</v>
      </c>
      <c r="D107" s="853">
        <f>SUM(9W!D647)</f>
        <v>80000</v>
      </c>
      <c r="E107" s="853">
        <f>SUM(9W!E647)</f>
        <v>0</v>
      </c>
      <c r="F107" s="854">
        <f>E107/D107*100</f>
        <v>0</v>
      </c>
      <c r="G107" s="175" t="s">
        <v>315</v>
      </c>
      <c r="H107" s="176"/>
      <c r="I107" s="226"/>
      <c r="J107" s="225"/>
    </row>
    <row r="108" spans="1:7" ht="31.5" customHeight="1">
      <c r="A108" s="215" t="s">
        <v>261</v>
      </c>
      <c r="B108" s="208">
        <v>85111</v>
      </c>
      <c r="C108" s="207" t="s">
        <v>140</v>
      </c>
      <c r="D108" s="853">
        <v>241000</v>
      </c>
      <c r="E108" s="853">
        <v>0</v>
      </c>
      <c r="F108" s="854">
        <f>E108/D108*100</f>
        <v>0</v>
      </c>
      <c r="G108" s="175" t="s">
        <v>312</v>
      </c>
    </row>
    <row r="109" spans="1:7" ht="29.25" customHeight="1" hidden="1" thickBot="1">
      <c r="A109" s="890" t="s">
        <v>332</v>
      </c>
      <c r="B109" s="891">
        <v>85117</v>
      </c>
      <c r="C109" s="899" t="s">
        <v>1186</v>
      </c>
      <c r="D109" s="893">
        <v>0</v>
      </c>
      <c r="E109" s="893">
        <v>0</v>
      </c>
      <c r="F109" s="894" t="e">
        <f>E109/D109*100</f>
        <v>#DIV/0!</v>
      </c>
      <c r="G109" s="175" t="s">
        <v>312</v>
      </c>
    </row>
    <row r="110" spans="1:10" s="175" customFormat="1" ht="18" customHeight="1" thickBot="1">
      <c r="A110" s="1630" t="s">
        <v>1125</v>
      </c>
      <c r="B110" s="1631"/>
      <c r="C110" s="1632"/>
      <c r="D110" s="895">
        <f>SUM(D97,D105)</f>
        <v>5579143</v>
      </c>
      <c r="E110" s="895">
        <f>SUM(E97,E105)</f>
        <v>445638.63</v>
      </c>
      <c r="F110" s="896">
        <f t="shared" si="3"/>
        <v>7.9875821429922125</v>
      </c>
      <c r="H110" s="176"/>
      <c r="I110" s="226"/>
      <c r="J110" s="225"/>
    </row>
    <row r="111" spans="1:10" s="563" customFormat="1" ht="21" customHeight="1" thickBot="1">
      <c r="A111" s="903"/>
      <c r="B111" s="903"/>
      <c r="C111" s="903"/>
      <c r="D111" s="904"/>
      <c r="E111" s="904"/>
      <c r="F111" s="905"/>
      <c r="H111" s="880"/>
      <c r="I111" s="881"/>
      <c r="J111" s="906"/>
    </row>
    <row r="112" spans="1:10" s="737" customFormat="1" ht="23.25" customHeight="1">
      <c r="A112" s="1636" t="s">
        <v>98</v>
      </c>
      <c r="B112" s="1637"/>
      <c r="C112" s="1638"/>
      <c r="D112" s="907" t="s">
        <v>519</v>
      </c>
      <c r="E112" s="908" t="s">
        <v>520</v>
      </c>
      <c r="F112" s="909" t="s">
        <v>1356</v>
      </c>
      <c r="G112" s="185"/>
      <c r="H112" s="882"/>
      <c r="I112" s="883"/>
      <c r="J112" s="870"/>
    </row>
    <row r="113" spans="1:10" s="679" customFormat="1" ht="18.75" customHeight="1">
      <c r="A113" s="1627" t="s">
        <v>1247</v>
      </c>
      <c r="B113" s="1628"/>
      <c r="C113" s="1629"/>
      <c r="D113" s="1335">
        <f>SUM(D11,D54,D80,D92)</f>
        <v>19159278</v>
      </c>
      <c r="E113" s="1335">
        <f>SUM(E11,E54,E80,E92)</f>
        <v>9052727.95</v>
      </c>
      <c r="F113" s="1336">
        <f>E113/D113*100</f>
        <v>47.249838694339104</v>
      </c>
      <c r="H113" s="176"/>
      <c r="I113" s="226"/>
      <c r="J113" s="873"/>
    </row>
    <row r="114" spans="1:10" s="679" customFormat="1" ht="18.75" customHeight="1" thickBot="1">
      <c r="A114" s="1646" t="s">
        <v>314</v>
      </c>
      <c r="B114" s="1647"/>
      <c r="C114" s="1648"/>
      <c r="D114" s="914">
        <f>SUM(D110)</f>
        <v>5579143</v>
      </c>
      <c r="E114" s="914">
        <f>SUM(E110)</f>
        <v>445638.63</v>
      </c>
      <c r="F114" s="915">
        <f>E114/D114*100</f>
        <v>7.9875821429922125</v>
      </c>
      <c r="H114" s="176"/>
      <c r="I114" s="226"/>
      <c r="J114" s="873"/>
    </row>
    <row r="115" spans="1:10" s="175" customFormat="1" ht="18.75" customHeight="1" thickBot="1" thickTop="1">
      <c r="A115" s="1649" t="s">
        <v>1135</v>
      </c>
      <c r="B115" s="1650"/>
      <c r="C115" s="1651"/>
      <c r="D115" s="1337">
        <f>SUM(D113,D114)</f>
        <v>24738421</v>
      </c>
      <c r="E115" s="1337">
        <f>SUM(E113,E114)</f>
        <v>9498366.58</v>
      </c>
      <c r="F115" s="1169">
        <f>E115/D115*100</f>
        <v>38.39520145606706</v>
      </c>
      <c r="H115" s="176"/>
      <c r="I115" s="226"/>
      <c r="J115" s="225"/>
    </row>
    <row r="116" spans="1:10" s="563" customFormat="1" ht="24.75" customHeight="1">
      <c r="A116" s="1645" t="s">
        <v>896</v>
      </c>
      <c r="B116" s="1645"/>
      <c r="C116" s="1645"/>
      <c r="D116" s="1645"/>
      <c r="E116" s="1645"/>
      <c r="F116" s="1645"/>
      <c r="H116" s="880"/>
      <c r="I116" s="881"/>
      <c r="J116" s="906"/>
    </row>
    <row r="117" spans="3:5" ht="12.75" hidden="1">
      <c r="C117" s="192" t="s">
        <v>1254</v>
      </c>
      <c r="D117" s="206">
        <v>19159278</v>
      </c>
      <c r="E117" s="206">
        <v>9052727.95</v>
      </c>
    </row>
    <row r="118" spans="3:5" ht="12.75" hidden="1">
      <c r="C118" s="192" t="s">
        <v>1281</v>
      </c>
      <c r="D118" s="206">
        <v>5579143</v>
      </c>
      <c r="E118" s="206">
        <v>445638.63</v>
      </c>
    </row>
    <row r="119" spans="4:5" ht="22.5" customHeight="1" hidden="1">
      <c r="D119" s="873">
        <f>SUM(D117:D118)</f>
        <v>24738421</v>
      </c>
      <c r="E119" s="873">
        <f>SUM(E117:E118)</f>
        <v>9498366.58</v>
      </c>
    </row>
    <row r="120" spans="3:5" ht="12.75" hidden="1">
      <c r="C120" s="192" t="s">
        <v>283</v>
      </c>
      <c r="D120" s="206">
        <f>D117-D113</f>
        <v>0</v>
      </c>
      <c r="E120" s="206">
        <f>E117-E113</f>
        <v>0</v>
      </c>
    </row>
    <row r="121" spans="3:5" ht="12.75" hidden="1">
      <c r="C121" s="192" t="s">
        <v>305</v>
      </c>
      <c r="D121" s="206">
        <f>D118-D114</f>
        <v>0</v>
      </c>
      <c r="E121" s="206">
        <f>E118-E114</f>
        <v>0</v>
      </c>
    </row>
    <row r="122" ht="12.75" hidden="1"/>
    <row r="123" ht="12.75" hidden="1"/>
    <row r="124" spans="3:6" ht="12.75" hidden="1">
      <c r="C124" s="192" t="s">
        <v>1282</v>
      </c>
      <c r="D124" s="206">
        <f>SUM(D8,D16,D59,D85,D97)</f>
        <v>19475522</v>
      </c>
      <c r="E124" s="206">
        <f>SUM(E8,E16,E59,E85,E97)</f>
        <v>8033977.620000001</v>
      </c>
      <c r="F124" s="206"/>
    </row>
    <row r="125" spans="3:5" ht="12.75" hidden="1">
      <c r="C125" s="192" t="s">
        <v>1283</v>
      </c>
      <c r="D125" s="916">
        <f>SUM(D33,D76,D88,D105)</f>
        <v>5262899</v>
      </c>
      <c r="E125" s="916">
        <f>SUM(E33,E76,E88,E105)</f>
        <v>1464388.96</v>
      </c>
    </row>
    <row r="126" spans="4:5" ht="13.5" hidden="1">
      <c r="D126" s="873">
        <f>SUM(D124,D125)</f>
        <v>24738421</v>
      </c>
      <c r="E126" s="873">
        <f>SUM(E124,E125)</f>
        <v>9498366.580000002</v>
      </c>
    </row>
    <row r="127" ht="12.75" hidden="1"/>
    <row r="128" spans="3:5" ht="12.75" hidden="1">
      <c r="C128" s="192" t="s">
        <v>811</v>
      </c>
      <c r="D128" s="206">
        <v>19475522</v>
      </c>
      <c r="E128" s="206">
        <v>8033977.62</v>
      </c>
    </row>
    <row r="129" spans="3:5" ht="12.75" hidden="1">
      <c r="C129" s="192" t="s">
        <v>1287</v>
      </c>
      <c r="D129" s="206">
        <v>5262899</v>
      </c>
      <c r="E129" s="206">
        <v>1464388.96</v>
      </c>
    </row>
    <row r="130" spans="3:8" ht="12.75" hidden="1">
      <c r="C130" s="192" t="s">
        <v>1284</v>
      </c>
      <c r="D130" s="206">
        <f>D124-D128</f>
        <v>0</v>
      </c>
      <c r="E130" s="206">
        <f>E124-E128</f>
        <v>0</v>
      </c>
      <c r="F130" s="174" t="s">
        <v>1286</v>
      </c>
      <c r="H130" s="223">
        <v>0</v>
      </c>
    </row>
    <row r="131" spans="3:5" ht="12.75" hidden="1">
      <c r="C131" s="192" t="s">
        <v>1285</v>
      </c>
      <c r="D131" s="206">
        <f>D125-D129</f>
        <v>0</v>
      </c>
      <c r="E131" s="206">
        <f>E125-E129</f>
        <v>0</v>
      </c>
    </row>
  </sheetData>
  <sheetProtection password="CF53" sheet="1" formatRows="0" insertColumns="0" insertRows="0" insertHyperlinks="0" deleteColumns="0" deleteRows="0" sort="0" autoFilter="0" pivotTables="0"/>
  <mergeCells count="30">
    <mergeCell ref="G19:G20"/>
    <mergeCell ref="H19:H20"/>
    <mergeCell ref="I19:I20"/>
    <mergeCell ref="H6:I6"/>
    <mergeCell ref="A56:F56"/>
    <mergeCell ref="A11:C11"/>
    <mergeCell ref="A116:F116"/>
    <mergeCell ref="A80:C80"/>
    <mergeCell ref="A105:C105"/>
    <mergeCell ref="A114:C114"/>
    <mergeCell ref="A115:C115"/>
    <mergeCell ref="A97:C97"/>
    <mergeCell ref="A110:C110"/>
    <mergeCell ref="A82:F82"/>
    <mergeCell ref="A59:C59"/>
    <mergeCell ref="A76:C76"/>
    <mergeCell ref="A3:F3"/>
    <mergeCell ref="A13:F13"/>
    <mergeCell ref="A5:E5"/>
    <mergeCell ref="E1:F1"/>
    <mergeCell ref="A54:C54"/>
    <mergeCell ref="A16:C16"/>
    <mergeCell ref="A33:C33"/>
    <mergeCell ref="A8:C8"/>
    <mergeCell ref="A113:C113"/>
    <mergeCell ref="A92:C92"/>
    <mergeCell ref="A85:C85"/>
    <mergeCell ref="A112:C112"/>
    <mergeCell ref="A94:F94"/>
    <mergeCell ref="A88:C8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N178"/>
  <sheetViews>
    <sheetView view="pageBreakPreview" zoomScaleSheetLayoutView="100" workbookViewId="0" topLeftCell="A1">
      <selection activeCell="C76" sqref="C76"/>
    </sheetView>
  </sheetViews>
  <sheetFormatPr defaultColWidth="9.00390625" defaultRowHeight="12.75"/>
  <cols>
    <col min="1" max="1" width="4.75390625" style="925" customWidth="1"/>
    <col min="2" max="2" width="7.125" style="925" customWidth="1"/>
    <col min="3" max="3" width="23.00390625" style="598" customWidth="1"/>
    <col min="4" max="4" width="12.125" style="570" customWidth="1"/>
    <col min="5" max="5" width="12.25390625" style="570" customWidth="1"/>
    <col min="6" max="6" width="5.125" style="570" customWidth="1"/>
    <col min="7" max="7" width="12.125" style="924" customWidth="1"/>
    <col min="8" max="8" width="12.625" style="570" customWidth="1"/>
    <col min="9" max="9" width="5.625" style="924" customWidth="1"/>
    <col min="10" max="10" width="10.25390625" style="924" hidden="1" customWidth="1"/>
    <col min="11" max="11" width="15.875" style="924" hidden="1" customWidth="1"/>
    <col min="12" max="12" width="15.25390625" style="570" hidden="1" customWidth="1"/>
    <col min="13" max="13" width="12.25390625" style="570" hidden="1" customWidth="1"/>
    <col min="14" max="14" width="17.25390625" style="570" hidden="1" customWidth="1"/>
    <col min="15" max="16384" width="9.125" style="570" customWidth="1"/>
  </cols>
  <sheetData>
    <row r="1" spans="8:10" ht="22.5" customHeight="1">
      <c r="H1" s="1583" t="s">
        <v>612</v>
      </c>
      <c r="I1" s="1583"/>
      <c r="J1" s="175"/>
    </row>
    <row r="2" spans="1:9" ht="18.75" customHeight="1">
      <c r="A2" s="1657" t="s">
        <v>39</v>
      </c>
      <c r="B2" s="1657"/>
      <c r="C2" s="1657"/>
      <c r="D2" s="1657"/>
      <c r="E2" s="1657"/>
      <c r="F2" s="1657"/>
      <c r="G2" s="1657"/>
      <c r="H2" s="1657"/>
      <c r="I2" s="1657"/>
    </row>
    <row r="3" spans="8:9" ht="12.75" customHeight="1" thickBot="1">
      <c r="H3" s="1663" t="s">
        <v>1351</v>
      </c>
      <c r="I3" s="1663"/>
    </row>
    <row r="4" spans="1:13" s="563" customFormat="1" ht="20.25" customHeight="1">
      <c r="A4" s="1667" t="s">
        <v>97</v>
      </c>
      <c r="B4" s="1669" t="s">
        <v>1352</v>
      </c>
      <c r="C4" s="1655" t="s">
        <v>98</v>
      </c>
      <c r="D4" s="1664" t="s">
        <v>1273</v>
      </c>
      <c r="E4" s="1665"/>
      <c r="F4" s="1665"/>
      <c r="G4" s="1664" t="s">
        <v>1274</v>
      </c>
      <c r="H4" s="1665"/>
      <c r="I4" s="1666"/>
      <c r="J4" s="880"/>
      <c r="K4" s="880"/>
      <c r="L4" s="562">
        <v>1</v>
      </c>
      <c r="M4" s="562">
        <v>2</v>
      </c>
    </row>
    <row r="5" spans="1:14" s="562" customFormat="1" ht="18.75" customHeight="1">
      <c r="A5" s="1668"/>
      <c r="B5" s="1670"/>
      <c r="C5" s="1656"/>
      <c r="D5" s="180" t="s">
        <v>1354</v>
      </c>
      <c r="E5" s="180" t="s">
        <v>1355</v>
      </c>
      <c r="F5" s="180" t="s">
        <v>1356</v>
      </c>
      <c r="G5" s="180" t="s">
        <v>162</v>
      </c>
      <c r="H5" s="180" t="s">
        <v>163</v>
      </c>
      <c r="I5" s="420" t="s">
        <v>1356</v>
      </c>
      <c r="J5" s="1659" t="s">
        <v>819</v>
      </c>
      <c r="K5" s="1658" t="s">
        <v>1289</v>
      </c>
      <c r="L5" s="562" t="s">
        <v>814</v>
      </c>
      <c r="M5" s="562" t="s">
        <v>815</v>
      </c>
      <c r="N5" s="562" t="s">
        <v>817</v>
      </c>
    </row>
    <row r="6" spans="1:14" s="929" customFormat="1" ht="12.75" thickBot="1">
      <c r="A6" s="926">
        <v>1</v>
      </c>
      <c r="B6" s="927">
        <v>2</v>
      </c>
      <c r="C6" s="928">
        <v>3</v>
      </c>
      <c r="D6" s="182">
        <v>4</v>
      </c>
      <c r="E6" s="182">
        <v>5</v>
      </c>
      <c r="F6" s="182">
        <v>6</v>
      </c>
      <c r="G6" s="182">
        <v>7</v>
      </c>
      <c r="H6" s="182">
        <v>8</v>
      </c>
      <c r="I6" s="184">
        <v>9</v>
      </c>
      <c r="J6" s="1659"/>
      <c r="K6" s="1658"/>
      <c r="L6" s="929" t="s">
        <v>100</v>
      </c>
      <c r="M6" s="929" t="s">
        <v>816</v>
      </c>
      <c r="N6" s="929" t="s">
        <v>818</v>
      </c>
    </row>
    <row r="7" spans="1:12" s="562" customFormat="1" ht="27.75" customHeight="1">
      <c r="A7" s="930" t="s">
        <v>1357</v>
      </c>
      <c r="B7" s="931"/>
      <c r="C7" s="932" t="s">
        <v>650</v>
      </c>
      <c r="D7" s="933">
        <f>SUM(D8)</f>
        <v>22321.11</v>
      </c>
      <c r="E7" s="933">
        <f>SUM(E8)</f>
        <v>22321.11</v>
      </c>
      <c r="F7" s="934">
        <f aca="true" t="shared" si="0" ref="F7:F59">E7/D7*100</f>
        <v>100</v>
      </c>
      <c r="G7" s="935">
        <f>SUM(G8)</f>
        <v>22321.11</v>
      </c>
      <c r="H7" s="935">
        <f>SUM(H8)</f>
        <v>22321.11</v>
      </c>
      <c r="I7" s="1018">
        <f>H7/G7*100</f>
        <v>100</v>
      </c>
      <c r="J7" s="880"/>
      <c r="K7" s="881">
        <f>SUM(H8)</f>
        <v>22321.11</v>
      </c>
      <c r="L7" s="936"/>
    </row>
    <row r="8" spans="1:13" s="941" customFormat="1" ht="19.5" customHeight="1">
      <c r="A8" s="918"/>
      <c r="B8" s="937" t="s">
        <v>655</v>
      </c>
      <c r="C8" s="938" t="s">
        <v>1358</v>
      </c>
      <c r="D8" s="939">
        <f>SUM(6DOCHODY!E10)</f>
        <v>22321.11</v>
      </c>
      <c r="E8" s="939">
        <f>SUM(6DOCHODY!F10)</f>
        <v>22321.11</v>
      </c>
      <c r="F8" s="922">
        <f t="shared" si="0"/>
        <v>100</v>
      </c>
      <c r="G8" s="886">
        <f>D8</f>
        <v>22321.11</v>
      </c>
      <c r="H8" s="886">
        <f>SUM('12DiW zlecone'!D13)</f>
        <v>22321.11</v>
      </c>
      <c r="I8" s="1017">
        <f>H8/G8*100</f>
        <v>100</v>
      </c>
      <c r="J8" s="923">
        <f>G8-H8</f>
        <v>0</v>
      </c>
      <c r="K8" s="1008"/>
      <c r="L8" s="936"/>
      <c r="M8" s="941">
        <v>22321.11</v>
      </c>
    </row>
    <row r="9" spans="1:12" s="929" customFormat="1" ht="20.25" customHeight="1">
      <c r="A9" s="930" t="s">
        <v>1414</v>
      </c>
      <c r="B9" s="931"/>
      <c r="C9" s="932" t="s">
        <v>1415</v>
      </c>
      <c r="D9" s="933">
        <f>SUM(D10)</f>
        <v>236000</v>
      </c>
      <c r="E9" s="933">
        <f>SUM(E10)</f>
        <v>0</v>
      </c>
      <c r="F9" s="934">
        <f t="shared" si="0"/>
        <v>0</v>
      </c>
      <c r="G9" s="942">
        <f>SUM(G10)</f>
        <v>236000</v>
      </c>
      <c r="H9" s="942">
        <f>SUM(H10)</f>
        <v>0</v>
      </c>
      <c r="I9" s="1018">
        <f>H9/G9*100</f>
        <v>0</v>
      </c>
      <c r="J9" s="923"/>
      <c r="K9" s="1009"/>
      <c r="L9" s="936"/>
    </row>
    <row r="10" spans="1:12" s="941" customFormat="1" ht="51.75" customHeight="1">
      <c r="A10" s="918"/>
      <c r="B10" s="937" t="s">
        <v>1416</v>
      </c>
      <c r="C10" s="938" t="s">
        <v>1474</v>
      </c>
      <c r="D10" s="939">
        <v>236000</v>
      </c>
      <c r="E10" s="939">
        <f>SUM(6DOCHODY!F448,6DOCHODY!F450)</f>
        <v>0</v>
      </c>
      <c r="F10" s="922">
        <f t="shared" si="0"/>
        <v>0</v>
      </c>
      <c r="G10" s="868">
        <f>D10</f>
        <v>236000</v>
      </c>
      <c r="H10" s="868">
        <v>0</v>
      </c>
      <c r="I10" s="1017">
        <f>H10/G10*100</f>
        <v>0</v>
      </c>
      <c r="J10" s="923">
        <f>G10-H10</f>
        <v>236000</v>
      </c>
      <c r="K10" s="1010"/>
      <c r="L10" s="940"/>
    </row>
    <row r="11" spans="1:13" s="929" customFormat="1" ht="30.75" customHeight="1">
      <c r="A11" s="930" t="s">
        <v>1421</v>
      </c>
      <c r="B11" s="931"/>
      <c r="C11" s="932" t="s">
        <v>1422</v>
      </c>
      <c r="D11" s="933">
        <f>SUM(D12,D13)</f>
        <v>55000</v>
      </c>
      <c r="E11" s="933">
        <f>SUM(E12,E13)</f>
        <v>55000</v>
      </c>
      <c r="F11" s="934">
        <f t="shared" si="0"/>
        <v>100</v>
      </c>
      <c r="G11" s="942">
        <f>SUM(G12,G13)</f>
        <v>55000</v>
      </c>
      <c r="H11" s="942">
        <f>SUM(H12,H13)</f>
        <v>20812.69</v>
      </c>
      <c r="I11" s="1018">
        <f>H11/G11*100</f>
        <v>37.84125454545455</v>
      </c>
      <c r="J11" s="923"/>
      <c r="K11" s="1011">
        <f>SUM(H11)</f>
        <v>20812.69</v>
      </c>
      <c r="L11" s="936"/>
      <c r="M11" s="929">
        <v>20812.69</v>
      </c>
    </row>
    <row r="12" spans="1:12" ht="29.25" customHeight="1">
      <c r="A12" s="918"/>
      <c r="B12" s="919" t="s">
        <v>1423</v>
      </c>
      <c r="C12" s="920" t="s">
        <v>1424</v>
      </c>
      <c r="D12" s="921">
        <f>SUM(6DOCHODY!E85,6DOCHODY!E453,6DOCHODY!E454)</f>
        <v>55000</v>
      </c>
      <c r="E12" s="921">
        <f>SUM(6DOCHODY!F85,6DOCHODY!F453,6DOCHODY!F454)</f>
        <v>55000</v>
      </c>
      <c r="F12" s="922">
        <f t="shared" si="0"/>
        <v>100</v>
      </c>
      <c r="G12" s="868">
        <f>D12</f>
        <v>55000</v>
      </c>
      <c r="H12" s="868">
        <f>SUM('12DiW zlecone'!D43)+'13DiW porozumienia'!D13</f>
        <v>20812.69</v>
      </c>
      <c r="I12" s="1013">
        <f aca="true" t="shared" si="1" ref="I12:I47">H12/G12*100</f>
        <v>37.84125454545455</v>
      </c>
      <c r="J12" s="923">
        <f aca="true" t="shared" si="2" ref="J12:J62">G12-H12</f>
        <v>34187.31</v>
      </c>
      <c r="L12" s="857"/>
    </row>
    <row r="13" spans="1:13" ht="29.25" customHeight="1" hidden="1">
      <c r="A13" s="918"/>
      <c r="B13" s="919" t="s">
        <v>674</v>
      </c>
      <c r="C13" s="1019" t="s">
        <v>1358</v>
      </c>
      <c r="D13" s="921">
        <f>SUM(6DOCHODY!E89)</f>
        <v>0</v>
      </c>
      <c r="E13" s="921">
        <f>SUM(6DOCHODY!F89)</f>
        <v>0</v>
      </c>
      <c r="F13" s="922" t="e">
        <f t="shared" si="0"/>
        <v>#DIV/0!</v>
      </c>
      <c r="G13" s="868">
        <f>D13</f>
        <v>0</v>
      </c>
      <c r="H13" s="868">
        <f>'13DiW porozumienia'!D15</f>
        <v>0</v>
      </c>
      <c r="I13" s="1013" t="e">
        <f t="shared" si="1"/>
        <v>#DIV/0!</v>
      </c>
      <c r="J13" s="923"/>
      <c r="L13" s="857"/>
      <c r="M13" s="570">
        <v>0</v>
      </c>
    </row>
    <row r="14" spans="1:12" s="563" customFormat="1" ht="23.25" customHeight="1">
      <c r="A14" s="930" t="s">
        <v>1425</v>
      </c>
      <c r="B14" s="943"/>
      <c r="C14" s="944" t="s">
        <v>1426</v>
      </c>
      <c r="D14" s="945">
        <f>SUM(D15,D16,D17,D18)</f>
        <v>456000</v>
      </c>
      <c r="E14" s="945">
        <f>SUM(E15,E16,E17,E18)</f>
        <v>274998</v>
      </c>
      <c r="F14" s="934">
        <f t="shared" si="0"/>
        <v>60.306578947368415</v>
      </c>
      <c r="G14" s="942">
        <f>SUM(G15,G16,G17,G18)</f>
        <v>456000</v>
      </c>
      <c r="H14" s="942">
        <f>SUM(H15,H16,H17,H18)</f>
        <v>263362.33</v>
      </c>
      <c r="I14" s="1015">
        <f t="shared" si="1"/>
        <v>57.75489692982456</v>
      </c>
      <c r="J14" s="923"/>
      <c r="K14" s="881">
        <f>SUM(H14)</f>
        <v>263362.33</v>
      </c>
      <c r="L14" s="906"/>
    </row>
    <row r="15" spans="1:13" ht="39" customHeight="1">
      <c r="A15" s="918"/>
      <c r="B15" s="919" t="s">
        <v>1427</v>
      </c>
      <c r="C15" s="920" t="s">
        <v>211</v>
      </c>
      <c r="D15" s="921">
        <f>SUM(6DOCHODY!E457)</f>
        <v>80000</v>
      </c>
      <c r="E15" s="921">
        <f>SUM(6DOCHODY!F457)</f>
        <v>75000</v>
      </c>
      <c r="F15" s="922">
        <f t="shared" si="0"/>
        <v>93.75</v>
      </c>
      <c r="G15" s="868">
        <f>D15</f>
        <v>80000</v>
      </c>
      <c r="H15" s="868">
        <f>SUM('12DiW zlecone'!D45)</f>
        <v>75000</v>
      </c>
      <c r="I15" s="1013">
        <f t="shared" si="1"/>
        <v>93.75</v>
      </c>
      <c r="J15" s="923">
        <f t="shared" si="2"/>
        <v>5000</v>
      </c>
      <c r="L15" s="857"/>
      <c r="M15" s="570">
        <v>75000</v>
      </c>
    </row>
    <row r="16" spans="1:12" ht="30" customHeight="1" hidden="1">
      <c r="A16" s="918"/>
      <c r="B16" s="919" t="s">
        <v>1428</v>
      </c>
      <c r="C16" s="920" t="s">
        <v>1429</v>
      </c>
      <c r="D16" s="921">
        <f>SUM(6DOCHODY!E463)</f>
        <v>0</v>
      </c>
      <c r="E16" s="921">
        <f>SUM(6DOCHODY!F463)</f>
        <v>0</v>
      </c>
      <c r="F16" s="922" t="e">
        <f t="shared" si="0"/>
        <v>#DIV/0!</v>
      </c>
      <c r="G16" s="868">
        <f>D16</f>
        <v>0</v>
      </c>
      <c r="H16" s="868">
        <f>SUM('12DiW zlecone'!D47)</f>
        <v>0</v>
      </c>
      <c r="I16" s="1013" t="e">
        <f t="shared" si="1"/>
        <v>#DIV/0!</v>
      </c>
      <c r="J16" s="923">
        <f t="shared" si="2"/>
        <v>0</v>
      </c>
      <c r="L16" s="857"/>
    </row>
    <row r="17" spans="1:13" ht="19.5" customHeight="1">
      <c r="A17" s="918"/>
      <c r="B17" s="919" t="s">
        <v>1430</v>
      </c>
      <c r="C17" s="946" t="s">
        <v>1434</v>
      </c>
      <c r="D17" s="921">
        <f>SUM(6DOCHODY!E466,6DOCHODY!E467)</f>
        <v>376000</v>
      </c>
      <c r="E17" s="921">
        <f>SUM(6DOCHODY!F466,6DOCHODY!F467)</f>
        <v>199998</v>
      </c>
      <c r="F17" s="922">
        <f t="shared" si="0"/>
        <v>53.190957446808504</v>
      </c>
      <c r="G17" s="868">
        <f>D17</f>
        <v>376000</v>
      </c>
      <c r="H17" s="868">
        <f>SUM('12DiW zlecone'!D49)</f>
        <v>188362.33000000002</v>
      </c>
      <c r="I17" s="1013">
        <f t="shared" si="1"/>
        <v>50.09636436170213</v>
      </c>
      <c r="J17" s="923">
        <f t="shared" si="2"/>
        <v>187637.66999999998</v>
      </c>
      <c r="L17" s="857"/>
      <c r="M17" s="570">
        <v>188362.33</v>
      </c>
    </row>
    <row r="18" spans="1:12" ht="19.5" customHeight="1" hidden="1">
      <c r="A18" s="918"/>
      <c r="B18" s="919" t="s">
        <v>357</v>
      </c>
      <c r="C18" s="946" t="s">
        <v>1358</v>
      </c>
      <c r="D18" s="921">
        <f>SUM(6DOCHODY!E469)</f>
        <v>0</v>
      </c>
      <c r="E18" s="921">
        <f>SUM(6DOCHODY!F469)</f>
        <v>0</v>
      </c>
      <c r="F18" s="922" t="e">
        <f t="shared" si="0"/>
        <v>#DIV/0!</v>
      </c>
      <c r="G18" s="868">
        <f>D18</f>
        <v>0</v>
      </c>
      <c r="H18" s="868">
        <f>'12DiW zlecone'!D51</f>
        <v>0</v>
      </c>
      <c r="I18" s="1013" t="e">
        <f t="shared" si="1"/>
        <v>#DIV/0!</v>
      </c>
      <c r="J18" s="923"/>
      <c r="L18" s="857"/>
    </row>
    <row r="19" spans="1:12" s="563" customFormat="1" ht="24.75" customHeight="1">
      <c r="A19" s="930" t="s">
        <v>1437</v>
      </c>
      <c r="B19" s="943"/>
      <c r="C19" s="944" t="s">
        <v>1438</v>
      </c>
      <c r="D19" s="945">
        <f>SUM(D20,D21,D22)</f>
        <v>476900</v>
      </c>
      <c r="E19" s="945">
        <f>SUM(E20,E21,E22)</f>
        <v>267948</v>
      </c>
      <c r="F19" s="934">
        <f t="shared" si="0"/>
        <v>56.185363807926194</v>
      </c>
      <c r="G19" s="942">
        <f>SUM(G20,G21,G22)</f>
        <v>476900</v>
      </c>
      <c r="H19" s="942">
        <f>SUM(H20,H21,H22)</f>
        <v>265273.86</v>
      </c>
      <c r="I19" s="1015">
        <f t="shared" si="1"/>
        <v>55.624629901446845</v>
      </c>
      <c r="J19" s="923"/>
      <c r="K19" s="881">
        <f>SUM(H20:H22)</f>
        <v>265273.86</v>
      </c>
      <c r="L19" s="906"/>
    </row>
    <row r="20" spans="1:14" ht="21" customHeight="1">
      <c r="A20" s="918"/>
      <c r="B20" s="919" t="s">
        <v>1439</v>
      </c>
      <c r="C20" s="946" t="s">
        <v>1445</v>
      </c>
      <c r="D20" s="921">
        <f>SUM(6DOCHODY!E104,6DOCHODY!E472)</f>
        <v>455900</v>
      </c>
      <c r="E20" s="921">
        <f>SUM(6DOCHODY!F104,6DOCHODY!F472)</f>
        <v>246948</v>
      </c>
      <c r="F20" s="922">
        <f t="shared" si="0"/>
        <v>54.16714191708708</v>
      </c>
      <c r="G20" s="868">
        <f>D20</f>
        <v>455900</v>
      </c>
      <c r="H20" s="868">
        <f>SUM('12DiW zlecone'!D15,'12DiW zlecone'!D53)</f>
        <v>246948</v>
      </c>
      <c r="I20" s="1013">
        <f t="shared" si="1"/>
        <v>54.16714191708708</v>
      </c>
      <c r="J20" s="923">
        <f t="shared" si="2"/>
        <v>208952</v>
      </c>
      <c r="L20" s="857"/>
      <c r="M20" s="570">
        <v>246948</v>
      </c>
      <c r="N20" s="857">
        <f>L20+M20</f>
        <v>246948</v>
      </c>
    </row>
    <row r="21" spans="1:14" ht="21" customHeight="1">
      <c r="A21" s="918"/>
      <c r="B21" s="919" t="s">
        <v>1449</v>
      </c>
      <c r="C21" s="946" t="s">
        <v>708</v>
      </c>
      <c r="D21" s="921">
        <f>SUM(6DOCHODY!E479,6DOCHODY!E480)</f>
        <v>21000</v>
      </c>
      <c r="E21" s="921">
        <f>SUM(6DOCHODY!F479,6DOCHODY!F480)</f>
        <v>21000</v>
      </c>
      <c r="F21" s="922">
        <f t="shared" si="0"/>
        <v>100</v>
      </c>
      <c r="G21" s="868">
        <f>D21</f>
        <v>21000</v>
      </c>
      <c r="H21" s="868">
        <f>SUM('12DiW zlecone'!D55)+'13DiW porozumienia'!D25</f>
        <v>18325.86</v>
      </c>
      <c r="I21" s="1013">
        <f t="shared" si="1"/>
        <v>87.266</v>
      </c>
      <c r="J21" s="923">
        <f t="shared" si="2"/>
        <v>2674.1399999999994</v>
      </c>
      <c r="L21" s="857"/>
      <c r="M21" s="570">
        <v>18325.86</v>
      </c>
      <c r="N21" s="857">
        <f>L21+M21</f>
        <v>18325.86</v>
      </c>
    </row>
    <row r="22" spans="1:12" ht="21" customHeight="1" hidden="1">
      <c r="A22" s="918"/>
      <c r="B22" s="919" t="s">
        <v>1370</v>
      </c>
      <c r="C22" s="301" t="s">
        <v>1371</v>
      </c>
      <c r="D22" s="921">
        <f>6DOCHODY!E115</f>
        <v>0</v>
      </c>
      <c r="E22" s="921">
        <f>6DOCHODY!F115</f>
        <v>0</v>
      </c>
      <c r="F22" s="922" t="e">
        <f t="shared" si="0"/>
        <v>#DIV/0!</v>
      </c>
      <c r="G22" s="868">
        <f>D22</f>
        <v>0</v>
      </c>
      <c r="H22" s="868">
        <f>SUM('12DiW zlecone'!D17)</f>
        <v>0</v>
      </c>
      <c r="I22" s="1013" t="e">
        <f t="shared" si="1"/>
        <v>#DIV/0!</v>
      </c>
      <c r="J22" s="923"/>
      <c r="L22" s="857"/>
    </row>
    <row r="23" spans="1:13" s="563" customFormat="1" ht="63" customHeight="1">
      <c r="A23" s="930" t="s">
        <v>164</v>
      </c>
      <c r="B23" s="943"/>
      <c r="C23" s="944" t="s">
        <v>1451</v>
      </c>
      <c r="D23" s="945">
        <f>SUM(D24,D25,D26)</f>
        <v>7164</v>
      </c>
      <c r="E23" s="945">
        <f>SUM(E24,E25,E26)</f>
        <v>3582</v>
      </c>
      <c r="F23" s="934">
        <f t="shared" si="0"/>
        <v>50</v>
      </c>
      <c r="G23" s="942">
        <f>SUM(G24,G25,G26)</f>
        <v>7164</v>
      </c>
      <c r="H23" s="942">
        <f>SUM(H24,H25,H26)</f>
        <v>382.85</v>
      </c>
      <c r="I23" s="1015">
        <f t="shared" si="1"/>
        <v>5.344081518704635</v>
      </c>
      <c r="J23" s="923"/>
      <c r="K23" s="881">
        <f>SUM(H23)</f>
        <v>382.85</v>
      </c>
      <c r="L23" s="906"/>
      <c r="M23" s="563">
        <v>382.25</v>
      </c>
    </row>
    <row r="24" spans="1:12" ht="44.25" customHeight="1">
      <c r="A24" s="947"/>
      <c r="B24" s="948" t="s">
        <v>116</v>
      </c>
      <c r="C24" s="920" t="s">
        <v>117</v>
      </c>
      <c r="D24" s="921">
        <f>SUM(6DOCHODY!E135)</f>
        <v>7164</v>
      </c>
      <c r="E24" s="921">
        <f>SUM(6DOCHODY!F135)</f>
        <v>3582</v>
      </c>
      <c r="F24" s="922">
        <f t="shared" si="0"/>
        <v>50</v>
      </c>
      <c r="G24" s="868">
        <f>D24</f>
        <v>7164</v>
      </c>
      <c r="H24" s="868">
        <f>SUM('12DiW zlecone'!D19)</f>
        <v>382.85</v>
      </c>
      <c r="I24" s="1013">
        <f t="shared" si="1"/>
        <v>5.344081518704635</v>
      </c>
      <c r="J24" s="923">
        <f t="shared" si="2"/>
        <v>6781.15</v>
      </c>
      <c r="L24" s="857"/>
    </row>
    <row r="25" spans="1:12" ht="31.5" customHeight="1" hidden="1">
      <c r="A25" s="947"/>
      <c r="B25" s="948" t="s">
        <v>1236</v>
      </c>
      <c r="C25" s="949" t="s">
        <v>1237</v>
      </c>
      <c r="D25" s="921">
        <f>6DOCHODY!E137</f>
        <v>0</v>
      </c>
      <c r="E25" s="921">
        <f>6DOCHODY!F137</f>
        <v>0</v>
      </c>
      <c r="F25" s="950" t="e">
        <f>E25/D25*100</f>
        <v>#DIV/0!</v>
      </c>
      <c r="G25" s="868">
        <f>D25</f>
        <v>0</v>
      </c>
      <c r="H25" s="868"/>
      <c r="I25" s="1013" t="e">
        <f>H25/G25*100</f>
        <v>#DIV/0!</v>
      </c>
      <c r="J25" s="923">
        <f>G25-H25</f>
        <v>0</v>
      </c>
      <c r="L25" s="857"/>
    </row>
    <row r="26" spans="1:12" ht="89.25" customHeight="1" hidden="1">
      <c r="A26" s="947"/>
      <c r="B26" s="951" t="s">
        <v>1372</v>
      </c>
      <c r="C26" s="301" t="s">
        <v>1373</v>
      </c>
      <c r="D26" s="939">
        <f>6DOCHODY!E139</f>
        <v>0</v>
      </c>
      <c r="E26" s="939">
        <f>6DOCHODY!F139</f>
        <v>0</v>
      </c>
      <c r="F26" s="950" t="e">
        <f>E26/D26*100</f>
        <v>#DIV/0!</v>
      </c>
      <c r="G26" s="868">
        <f>D26</f>
        <v>0</v>
      </c>
      <c r="H26" s="886">
        <v>0</v>
      </c>
      <c r="I26" s="1013" t="e">
        <f>H26/G26*100</f>
        <v>#DIV/0!</v>
      </c>
      <c r="J26" s="923"/>
      <c r="L26" s="857"/>
    </row>
    <row r="27" spans="1:12" s="563" customFormat="1" ht="42" customHeight="1">
      <c r="A27" s="952" t="s">
        <v>1452</v>
      </c>
      <c r="B27" s="953"/>
      <c r="C27" s="944" t="s">
        <v>48</v>
      </c>
      <c r="D27" s="945">
        <f>SUM(D28,D29,D30)</f>
        <v>4158113</v>
      </c>
      <c r="E27" s="945">
        <f>SUM(E28,E29,E30)</f>
        <v>2486552</v>
      </c>
      <c r="F27" s="934">
        <f t="shared" si="0"/>
        <v>59.80001024503182</v>
      </c>
      <c r="G27" s="942">
        <f>SUM(G28,G29,G30)</f>
        <v>4158113</v>
      </c>
      <c r="H27" s="942">
        <f>SUM(H28,H29,H30)</f>
        <v>2184815.37</v>
      </c>
      <c r="I27" s="1015">
        <f t="shared" si="1"/>
        <v>52.54343424529348</v>
      </c>
      <c r="J27" s="923"/>
      <c r="K27" s="881">
        <f>SUM(H27)</f>
        <v>2184815.37</v>
      </c>
      <c r="L27" s="906"/>
    </row>
    <row r="28" spans="1:13" ht="30" customHeight="1">
      <c r="A28" s="947"/>
      <c r="B28" s="948" t="s">
        <v>1453</v>
      </c>
      <c r="C28" s="920" t="s">
        <v>221</v>
      </c>
      <c r="D28" s="921">
        <f>SUM(6DOCHODY!E483,6DOCHODY!E484)</f>
        <v>4158113</v>
      </c>
      <c r="E28" s="921">
        <f>SUM(6DOCHODY!F483,6DOCHODY!F484)</f>
        <v>2486552</v>
      </c>
      <c r="F28" s="922">
        <f t="shared" si="0"/>
        <v>59.80001024503182</v>
      </c>
      <c r="G28" s="868">
        <f>D28</f>
        <v>4158113</v>
      </c>
      <c r="H28" s="868">
        <f>SUM('12DiW zlecone'!D57)</f>
        <v>2184815.37</v>
      </c>
      <c r="I28" s="1013">
        <f t="shared" si="1"/>
        <v>52.54343424529348</v>
      </c>
      <c r="J28" s="923">
        <f t="shared" si="2"/>
        <v>1973297.63</v>
      </c>
      <c r="L28" s="857"/>
      <c r="M28" s="570">
        <v>2184815.37</v>
      </c>
    </row>
    <row r="29" spans="1:12" ht="20.25" customHeight="1" hidden="1">
      <c r="A29" s="918"/>
      <c r="B29" s="919" t="s">
        <v>1454</v>
      </c>
      <c r="C29" s="946" t="s">
        <v>1455</v>
      </c>
      <c r="D29" s="921">
        <f>SUM(6DOCHODY!E150)</f>
        <v>0</v>
      </c>
      <c r="E29" s="921">
        <f>SUM(6DOCHODY!F150)</f>
        <v>0</v>
      </c>
      <c r="F29" s="950" t="e">
        <f t="shared" si="0"/>
        <v>#DIV/0!</v>
      </c>
      <c r="G29" s="868">
        <f>D29</f>
        <v>0</v>
      </c>
      <c r="H29" s="868">
        <v>0</v>
      </c>
      <c r="I29" s="1013" t="e">
        <f t="shared" si="1"/>
        <v>#DIV/0!</v>
      </c>
      <c r="J29" s="923">
        <f t="shared" si="2"/>
        <v>0</v>
      </c>
      <c r="L29" s="857"/>
    </row>
    <row r="30" spans="1:12" ht="24.75" customHeight="1" hidden="1">
      <c r="A30" s="918"/>
      <c r="B30" s="919" t="s">
        <v>687</v>
      </c>
      <c r="C30" s="920" t="s">
        <v>688</v>
      </c>
      <c r="D30" s="921">
        <f>6DOCHODY!E486</f>
        <v>0</v>
      </c>
      <c r="E30" s="921">
        <f>6DOCHODY!F486</f>
        <v>0</v>
      </c>
      <c r="F30" s="950" t="e">
        <f t="shared" si="0"/>
        <v>#DIV/0!</v>
      </c>
      <c r="G30" s="868">
        <f>D30</f>
        <v>0</v>
      </c>
      <c r="H30" s="868">
        <v>0</v>
      </c>
      <c r="I30" s="1013" t="e">
        <f t="shared" si="1"/>
        <v>#DIV/0!</v>
      </c>
      <c r="J30" s="923"/>
      <c r="L30" s="857"/>
    </row>
    <row r="31" spans="1:12" s="563" customFormat="1" ht="21.75" customHeight="1">
      <c r="A31" s="930" t="s">
        <v>1459</v>
      </c>
      <c r="B31" s="943"/>
      <c r="C31" s="954" t="s">
        <v>1460</v>
      </c>
      <c r="D31" s="945">
        <f>SUM(D32,D33)</f>
        <v>63850</v>
      </c>
      <c r="E31" s="945">
        <f>SUM(E32,E33)</f>
        <v>31925</v>
      </c>
      <c r="F31" s="934">
        <f t="shared" si="0"/>
        <v>50</v>
      </c>
      <c r="G31" s="942">
        <f>SUM(G32,G33)</f>
        <v>63850</v>
      </c>
      <c r="H31" s="942">
        <f>SUM(H32,H33)</f>
        <v>0</v>
      </c>
      <c r="I31" s="1015">
        <f t="shared" si="1"/>
        <v>0</v>
      </c>
      <c r="J31" s="923"/>
      <c r="K31" s="880"/>
      <c r="L31" s="906"/>
    </row>
    <row r="32" spans="1:14" ht="20.25" customHeight="1">
      <c r="A32" s="918"/>
      <c r="B32" s="919" t="s">
        <v>1461</v>
      </c>
      <c r="C32" s="946" t="s">
        <v>1462</v>
      </c>
      <c r="D32" s="921">
        <f>SUM(6DOCHODY!E218,6DOCHODY!E223)</f>
        <v>63850</v>
      </c>
      <c r="E32" s="921">
        <f>SUM(6DOCHODY!F218,6DOCHODY!F223)</f>
        <v>31925</v>
      </c>
      <c r="F32" s="922">
        <f t="shared" si="0"/>
        <v>50</v>
      </c>
      <c r="G32" s="868">
        <f>D32</f>
        <v>63850</v>
      </c>
      <c r="H32" s="868">
        <f>N32</f>
        <v>0</v>
      </c>
      <c r="I32" s="1013">
        <f t="shared" si="1"/>
        <v>0</v>
      </c>
      <c r="J32" s="923">
        <f t="shared" si="2"/>
        <v>63850</v>
      </c>
      <c r="L32" s="857">
        <v>0</v>
      </c>
      <c r="M32" s="570">
        <v>0</v>
      </c>
      <c r="N32" s="857">
        <f>L32+M32</f>
        <v>0</v>
      </c>
    </row>
    <row r="33" spans="1:12" ht="20.25" customHeight="1" hidden="1">
      <c r="A33" s="918"/>
      <c r="B33" s="919" t="s">
        <v>724</v>
      </c>
      <c r="C33" s="946" t="s">
        <v>1358</v>
      </c>
      <c r="D33" s="921">
        <f>SUM(6DOCHODY!E244,6DOCHODY!E245,6DOCHODY!E246,6DOCHODY!E248,6DOCHODY!E520,6DOCHODY!E521)</f>
        <v>0</v>
      </c>
      <c r="E33" s="921">
        <f>SUM(6DOCHODY!F244,6DOCHODY!F245,6DOCHODY!F246,6DOCHODY!F248,6DOCHODY!F520,6DOCHODY!F521)</f>
        <v>0</v>
      </c>
      <c r="F33" s="922" t="e">
        <f t="shared" si="0"/>
        <v>#DIV/0!</v>
      </c>
      <c r="G33" s="868">
        <f>D33</f>
        <v>0</v>
      </c>
      <c r="H33" s="868">
        <f>'13DiW porozumienia'!D17+L33</f>
        <v>0</v>
      </c>
      <c r="I33" s="1013" t="e">
        <f t="shared" si="1"/>
        <v>#DIV/0!</v>
      </c>
      <c r="J33" s="923">
        <f t="shared" si="2"/>
        <v>0</v>
      </c>
      <c r="L33" s="857"/>
    </row>
    <row r="34" spans="1:12" s="563" customFormat="1" ht="20.25" customHeight="1">
      <c r="A34" s="930" t="s">
        <v>1468</v>
      </c>
      <c r="B34" s="943"/>
      <c r="C34" s="955" t="s">
        <v>1469</v>
      </c>
      <c r="D34" s="945">
        <f>SUM(D35,D36)</f>
        <v>883000</v>
      </c>
      <c r="E34" s="945">
        <f>SUM(E35,E36)</f>
        <v>486098</v>
      </c>
      <c r="F34" s="934">
        <f t="shared" si="0"/>
        <v>55.05073612684031</v>
      </c>
      <c r="G34" s="942">
        <f>SUM(G35,G36)</f>
        <v>883000</v>
      </c>
      <c r="H34" s="942">
        <f>SUM(H35,H36)</f>
        <v>483760.55000000005</v>
      </c>
      <c r="I34" s="1015">
        <f t="shared" si="1"/>
        <v>54.78601925254814</v>
      </c>
      <c r="J34" s="923"/>
      <c r="K34" s="881">
        <f>SUM(H35:H36)</f>
        <v>483760.55000000005</v>
      </c>
      <c r="L34" s="906"/>
    </row>
    <row r="35" spans="1:13" ht="52.5" customHeight="1">
      <c r="A35" s="947"/>
      <c r="B35" s="948" t="s">
        <v>155</v>
      </c>
      <c r="C35" s="920" t="s">
        <v>647</v>
      </c>
      <c r="D35" s="921">
        <f>SUM(6DOCHODY!E527)</f>
        <v>876000</v>
      </c>
      <c r="E35" s="921">
        <f>SUM(6DOCHODY!F527)</f>
        <v>482600</v>
      </c>
      <c r="F35" s="922">
        <f t="shared" si="0"/>
        <v>55.09132420091324</v>
      </c>
      <c r="G35" s="868">
        <f>D35</f>
        <v>876000</v>
      </c>
      <c r="H35" s="868">
        <f>SUM('12DiW zlecone'!D61)</f>
        <v>481277.4</v>
      </c>
      <c r="I35" s="1013">
        <f t="shared" si="1"/>
        <v>54.940342465753425</v>
      </c>
      <c r="J35" s="923">
        <f t="shared" si="2"/>
        <v>394722.6</v>
      </c>
      <c r="L35" s="857"/>
      <c r="M35" s="570">
        <v>481277.4</v>
      </c>
    </row>
    <row r="36" spans="1:13" ht="21" customHeight="1">
      <c r="A36" s="947"/>
      <c r="B36" s="948" t="s">
        <v>737</v>
      </c>
      <c r="C36" s="920" t="s">
        <v>1358</v>
      </c>
      <c r="D36" s="921">
        <f>SUM(6DOCHODY!E265,6DOCHODY!E266)</f>
        <v>7000</v>
      </c>
      <c r="E36" s="921">
        <f>SUM(6DOCHODY!F265,6DOCHODY!F266)</f>
        <v>3498</v>
      </c>
      <c r="F36" s="922">
        <f t="shared" si="0"/>
        <v>49.971428571428575</v>
      </c>
      <c r="G36" s="868">
        <f>D36</f>
        <v>7000</v>
      </c>
      <c r="H36" s="868">
        <f>SUM('12DiW zlecone'!D23)</f>
        <v>2483.15</v>
      </c>
      <c r="I36" s="1013">
        <f t="shared" si="1"/>
        <v>35.47357142857143</v>
      </c>
      <c r="J36" s="923">
        <f t="shared" si="2"/>
        <v>4516.85</v>
      </c>
      <c r="L36" s="857"/>
      <c r="M36" s="570">
        <v>2483.15</v>
      </c>
    </row>
    <row r="37" spans="1:12" s="563" customFormat="1" ht="21" customHeight="1">
      <c r="A37" s="952" t="s">
        <v>445</v>
      </c>
      <c r="B37" s="956"/>
      <c r="C37" s="932" t="s">
        <v>456</v>
      </c>
      <c r="D37" s="933">
        <f>SUM(D38,D39,D40,D41,D42,D43,D44,D45,D46,D47,D48,D49,D50,D51)</f>
        <v>8367592.99</v>
      </c>
      <c r="E37" s="933">
        <f>SUM(E38,E39,E40,E41,E42,E43,E44,E45,E46,E47,E48,E49,E50,E51)</f>
        <v>4583369</v>
      </c>
      <c r="F37" s="934">
        <f t="shared" si="0"/>
        <v>54.77523829705297</v>
      </c>
      <c r="G37" s="933">
        <f>SUM(G38,G39,G40,G41,G42,G43,G44,G45,G46,G47,G48,G49,G50,G51)</f>
        <v>8367592.99</v>
      </c>
      <c r="H37" s="933">
        <f>SUM(H38,H39,H40,H41,H42,H43,H44,H45,H46,H47,H48,H49,H50,H51)</f>
        <v>4439609.7299999995</v>
      </c>
      <c r="I37" s="1018">
        <f t="shared" si="1"/>
        <v>53.05719022550115</v>
      </c>
      <c r="J37" s="923"/>
      <c r="K37" s="881">
        <f>SUM(H38:H51)</f>
        <v>4439609.7299999995</v>
      </c>
      <c r="L37" s="906"/>
    </row>
    <row r="38" spans="1:13" ht="19.5" customHeight="1">
      <c r="A38" s="947"/>
      <c r="B38" s="951" t="s">
        <v>457</v>
      </c>
      <c r="C38" s="938" t="s">
        <v>206</v>
      </c>
      <c r="D38" s="939">
        <f>SUM(6DOCHODY!E277,6DOCHODY!E534)</f>
        <v>217000</v>
      </c>
      <c r="E38" s="939">
        <f>SUM(6DOCHODY!F277,6DOCHODY!F534)</f>
        <v>91200</v>
      </c>
      <c r="F38" s="922">
        <f t="shared" si="0"/>
        <v>42.02764976958525</v>
      </c>
      <c r="G38" s="886">
        <f aca="true" t="shared" si="3" ref="G38:G51">D38</f>
        <v>217000</v>
      </c>
      <c r="H38" s="886">
        <f>SUM('12DiW zlecone'!D25)</f>
        <v>91200</v>
      </c>
      <c r="I38" s="1017">
        <f t="shared" si="1"/>
        <v>42.02764976958525</v>
      </c>
      <c r="J38" s="923">
        <f t="shared" si="2"/>
        <v>125800</v>
      </c>
      <c r="L38" s="857"/>
      <c r="M38" s="570">
        <v>91200</v>
      </c>
    </row>
    <row r="39" spans="1:13" ht="19.5" customHeight="1">
      <c r="A39" s="947"/>
      <c r="B39" s="951" t="s">
        <v>742</v>
      </c>
      <c r="C39" s="920" t="s">
        <v>743</v>
      </c>
      <c r="D39" s="921">
        <f>SUM(6DOCHODY!E538)</f>
        <v>22331.99</v>
      </c>
      <c r="E39" s="921">
        <f>SUM(6DOCHODY!F538)</f>
        <v>0</v>
      </c>
      <c r="F39" s="922">
        <f>E39/D39*100</f>
        <v>0</v>
      </c>
      <c r="G39" s="868">
        <f>D39</f>
        <v>22331.99</v>
      </c>
      <c r="H39" s="868">
        <f>N39</f>
        <v>0</v>
      </c>
      <c r="I39" s="1013">
        <f>H39/G39*100</f>
        <v>0</v>
      </c>
      <c r="J39" s="923"/>
      <c r="L39" s="857"/>
      <c r="M39" s="570">
        <v>0</v>
      </c>
    </row>
    <row r="40" spans="1:13" ht="46.5" customHeight="1">
      <c r="A40" s="947"/>
      <c r="B40" s="951" t="s">
        <v>423</v>
      </c>
      <c r="C40" s="957" t="s">
        <v>302</v>
      </c>
      <c r="D40" s="939">
        <f>SUM(6DOCHODY!E543)</f>
        <v>318000</v>
      </c>
      <c r="E40" s="939">
        <f>SUM(6DOCHODY!F543)</f>
        <v>168000</v>
      </c>
      <c r="F40" s="922">
        <f t="shared" si="0"/>
        <v>52.83018867924528</v>
      </c>
      <c r="G40" s="886">
        <f t="shared" si="3"/>
        <v>318000</v>
      </c>
      <c r="H40" s="886">
        <f>SUM('12DiW zlecone'!D63)</f>
        <v>145688.9</v>
      </c>
      <c r="I40" s="1017">
        <f t="shared" si="1"/>
        <v>45.81411949685534</v>
      </c>
      <c r="J40" s="923"/>
      <c r="L40" s="857"/>
      <c r="M40" s="570">
        <v>145688.9</v>
      </c>
    </row>
    <row r="41" spans="1:12" ht="33" customHeight="1">
      <c r="A41" s="947"/>
      <c r="B41" s="951" t="s">
        <v>979</v>
      </c>
      <c r="C41" s="1495" t="s">
        <v>980</v>
      </c>
      <c r="D41" s="921">
        <f>SUM(6DOCHODY!E283)</f>
        <v>32436</v>
      </c>
      <c r="E41" s="921">
        <f>SUM(6DOCHODY!F283)</f>
        <v>32436</v>
      </c>
      <c r="F41" s="922">
        <f>E41/D41*100</f>
        <v>100</v>
      </c>
      <c r="G41" s="868">
        <f>D41</f>
        <v>32436</v>
      </c>
      <c r="H41" s="868">
        <f>N41</f>
        <v>0</v>
      </c>
      <c r="I41" s="1013">
        <f>H41/G41*100</f>
        <v>0</v>
      </c>
      <c r="J41" s="923"/>
      <c r="L41" s="857"/>
    </row>
    <row r="42" spans="1:13" ht="78.75" customHeight="1">
      <c r="A42" s="947"/>
      <c r="B42" s="948" t="s">
        <v>447</v>
      </c>
      <c r="C42" s="958" t="s">
        <v>1006</v>
      </c>
      <c r="D42" s="921">
        <f>SUM(6DOCHODY!E289)</f>
        <v>5601000</v>
      </c>
      <c r="E42" s="921">
        <f>SUM(6DOCHODY!F289)</f>
        <v>2906500</v>
      </c>
      <c r="F42" s="950">
        <f t="shared" si="0"/>
        <v>51.89251919300125</v>
      </c>
      <c r="G42" s="868">
        <f t="shared" si="3"/>
        <v>5601000</v>
      </c>
      <c r="H42" s="868">
        <f>SUM('12DiW zlecone'!D27)</f>
        <v>2858955.01</v>
      </c>
      <c r="I42" s="1013">
        <f t="shared" si="1"/>
        <v>51.04365309766112</v>
      </c>
      <c r="J42" s="923">
        <f t="shared" si="2"/>
        <v>2742044.99</v>
      </c>
      <c r="L42" s="857"/>
      <c r="M42" s="570">
        <v>2858955.01</v>
      </c>
    </row>
    <row r="43" spans="1:14" ht="111.75" customHeight="1">
      <c r="A43" s="947"/>
      <c r="B43" s="951" t="s">
        <v>448</v>
      </c>
      <c r="C43" s="938" t="s">
        <v>576</v>
      </c>
      <c r="D43" s="939">
        <f>SUM(6DOCHODY!E294,6DOCHODY!E295)</f>
        <v>106000</v>
      </c>
      <c r="E43" s="939">
        <f>SUM(6DOCHODY!F294,6DOCHODY!F295)</f>
        <v>59498</v>
      </c>
      <c r="F43" s="922">
        <f t="shared" si="0"/>
        <v>56.130188679245286</v>
      </c>
      <c r="G43" s="886">
        <f t="shared" si="3"/>
        <v>106000</v>
      </c>
      <c r="H43" s="886">
        <f>'12DiW zlecone'!D29+L43</f>
        <v>55539.71000000001</v>
      </c>
      <c r="I43" s="1017">
        <f t="shared" si="1"/>
        <v>52.39595283018868</v>
      </c>
      <c r="J43" s="923">
        <f t="shared" si="2"/>
        <v>50460.28999999999</v>
      </c>
      <c r="L43" s="857">
        <v>34131.83</v>
      </c>
      <c r="M43" s="570">
        <v>21407.88</v>
      </c>
      <c r="N43" s="857">
        <f>L43+M43</f>
        <v>55539.71000000001</v>
      </c>
    </row>
    <row r="44" spans="1:14" ht="41.25" customHeight="1">
      <c r="A44" s="947"/>
      <c r="B44" s="948" t="s">
        <v>449</v>
      </c>
      <c r="C44" s="920" t="s">
        <v>636</v>
      </c>
      <c r="D44" s="921">
        <f>SUM(6DOCHODY!E299,6DOCHODY!E300)</f>
        <v>218000</v>
      </c>
      <c r="E44" s="921">
        <f>SUM(6DOCHODY!F299,6DOCHODY!F300)</f>
        <v>156498</v>
      </c>
      <c r="F44" s="922">
        <f t="shared" si="0"/>
        <v>71.78807339449541</v>
      </c>
      <c r="G44" s="868">
        <f t="shared" si="3"/>
        <v>218000</v>
      </c>
      <c r="H44" s="868">
        <f>L44</f>
        <v>145663.75</v>
      </c>
      <c r="I44" s="1013">
        <f t="shared" si="1"/>
        <v>66.81823394495413</v>
      </c>
      <c r="J44" s="923">
        <f t="shared" si="2"/>
        <v>72336.25</v>
      </c>
      <c r="L44" s="857">
        <v>145663.75</v>
      </c>
      <c r="M44" s="570">
        <v>0</v>
      </c>
      <c r="N44" s="857">
        <f>L44+M44</f>
        <v>145663.75</v>
      </c>
    </row>
    <row r="45" spans="1:14" ht="23.25" customHeight="1">
      <c r="A45" s="947"/>
      <c r="B45" s="948" t="s">
        <v>420</v>
      </c>
      <c r="C45" s="1415" t="s">
        <v>693</v>
      </c>
      <c r="D45" s="921">
        <f>SUM(6DOCHODY!E305)</f>
        <v>759000</v>
      </c>
      <c r="E45" s="921">
        <f>SUM(6DOCHODY!F305)</f>
        <v>498000</v>
      </c>
      <c r="F45" s="922">
        <f t="shared" si="0"/>
        <v>65.61264822134387</v>
      </c>
      <c r="G45" s="868">
        <f t="shared" si="3"/>
        <v>759000</v>
      </c>
      <c r="H45" s="868">
        <f>N45</f>
        <v>475091.8</v>
      </c>
      <c r="I45" s="1013">
        <f t="shared" si="1"/>
        <v>62.59444005270092</v>
      </c>
      <c r="J45" s="923">
        <f t="shared" si="2"/>
        <v>283908.2</v>
      </c>
      <c r="L45" s="857">
        <v>475091.8</v>
      </c>
      <c r="N45" s="857">
        <f>L45+M45</f>
        <v>475091.8</v>
      </c>
    </row>
    <row r="46" spans="1:12" ht="26.25" customHeight="1" hidden="1">
      <c r="A46" s="947"/>
      <c r="B46" s="948" t="s">
        <v>744</v>
      </c>
      <c r="C46" s="959" t="s">
        <v>745</v>
      </c>
      <c r="D46" s="921">
        <f>SUM(6DOCHODY!E546)</f>
        <v>0</v>
      </c>
      <c r="E46" s="921">
        <f>SUM(6DOCHODY!F546)</f>
        <v>0</v>
      </c>
      <c r="F46" s="922" t="e">
        <f t="shared" si="0"/>
        <v>#DIV/0!</v>
      </c>
      <c r="G46" s="868">
        <f t="shared" si="3"/>
        <v>0</v>
      </c>
      <c r="H46" s="868">
        <f>L46</f>
        <v>0</v>
      </c>
      <c r="I46" s="1013" t="e">
        <f t="shared" si="1"/>
        <v>#DIV/0!</v>
      </c>
      <c r="J46" s="923">
        <f t="shared" si="2"/>
        <v>0</v>
      </c>
      <c r="L46" s="857"/>
    </row>
    <row r="47" spans="1:14" ht="21" customHeight="1">
      <c r="A47" s="918"/>
      <c r="B47" s="919" t="s">
        <v>451</v>
      </c>
      <c r="C47" s="946" t="s">
        <v>1478</v>
      </c>
      <c r="D47" s="921">
        <f>SUM(6DOCHODY!E310,6DOCHODY!E311)</f>
        <v>529263</v>
      </c>
      <c r="E47" s="921">
        <f>SUM(6DOCHODY!F310,6DOCHODY!F311)</f>
        <v>266763</v>
      </c>
      <c r="F47" s="922">
        <f t="shared" si="0"/>
        <v>50.40272983374995</v>
      </c>
      <c r="G47" s="868">
        <f t="shared" si="3"/>
        <v>529263</v>
      </c>
      <c r="H47" s="868">
        <f>L47+'12DiW zlecone'!D33</f>
        <v>264600</v>
      </c>
      <c r="I47" s="1013">
        <f t="shared" si="1"/>
        <v>49.994048327580046</v>
      </c>
      <c r="J47" s="923">
        <f t="shared" si="2"/>
        <v>264663</v>
      </c>
      <c r="L47" s="1016">
        <v>262500</v>
      </c>
      <c r="M47" s="570">
        <v>2100</v>
      </c>
      <c r="N47" s="857">
        <f>L47+M47</f>
        <v>264600</v>
      </c>
    </row>
    <row r="48" spans="1:12" ht="54" customHeight="1" hidden="1">
      <c r="A48" s="918"/>
      <c r="B48" s="919" t="s">
        <v>1121</v>
      </c>
      <c r="C48" s="920" t="s">
        <v>1122</v>
      </c>
      <c r="D48" s="921">
        <f>SUM(6DOCHODY!E549)</f>
        <v>0</v>
      </c>
      <c r="E48" s="921">
        <f>SUM(6DOCHODY!F549)</f>
        <v>0</v>
      </c>
      <c r="F48" s="922" t="e">
        <f t="shared" si="0"/>
        <v>#DIV/0!</v>
      </c>
      <c r="G48" s="868">
        <f t="shared" si="3"/>
        <v>0</v>
      </c>
      <c r="H48" s="868"/>
      <c r="I48" s="1013" t="e">
        <f aca="true" t="shared" si="4" ref="I48:I62">H48/G48*100</f>
        <v>#DIV/0!</v>
      </c>
      <c r="J48" s="923">
        <f t="shared" si="2"/>
        <v>0</v>
      </c>
      <c r="L48" s="857"/>
    </row>
    <row r="49" spans="1:13" ht="39.75" customHeight="1">
      <c r="A49" s="947"/>
      <c r="B49" s="948" t="s">
        <v>453</v>
      </c>
      <c r="C49" s="920" t="s">
        <v>1481</v>
      </c>
      <c r="D49" s="921">
        <f>SUM(6DOCHODY!E317)</f>
        <v>72000</v>
      </c>
      <c r="E49" s="921">
        <f>SUM(6DOCHODY!F317)</f>
        <v>36000</v>
      </c>
      <c r="F49" s="922">
        <f t="shared" si="0"/>
        <v>50</v>
      </c>
      <c r="G49" s="868">
        <f t="shared" si="3"/>
        <v>72000</v>
      </c>
      <c r="H49" s="868">
        <f>SUM('12DiW zlecone'!D35)</f>
        <v>35363.78</v>
      </c>
      <c r="I49" s="1013">
        <f t="shared" si="4"/>
        <v>49.11636111111111</v>
      </c>
      <c r="J49" s="923">
        <f t="shared" si="2"/>
        <v>36636.22</v>
      </c>
      <c r="L49" s="857"/>
      <c r="M49" s="570">
        <v>35363.78</v>
      </c>
    </row>
    <row r="50" spans="1:12" ht="33" customHeight="1" hidden="1">
      <c r="A50" s="947"/>
      <c r="B50" s="948" t="s">
        <v>1241</v>
      </c>
      <c r="C50" s="920" t="s">
        <v>688</v>
      </c>
      <c r="D50" s="921">
        <f>6DOCHODY!E319</f>
        <v>0</v>
      </c>
      <c r="E50" s="921">
        <f>6DOCHODY!F319</f>
        <v>0</v>
      </c>
      <c r="F50" s="922" t="e">
        <f t="shared" si="0"/>
        <v>#DIV/0!</v>
      </c>
      <c r="G50" s="868">
        <f t="shared" si="3"/>
        <v>0</v>
      </c>
      <c r="H50" s="868">
        <f>'12DiW zlecone'!D37</f>
        <v>0</v>
      </c>
      <c r="I50" s="1013" t="e">
        <f t="shared" si="4"/>
        <v>#DIV/0!</v>
      </c>
      <c r="J50" s="923"/>
      <c r="L50" s="857"/>
    </row>
    <row r="51" spans="1:14" ht="21.75" customHeight="1">
      <c r="A51" s="947"/>
      <c r="B51" s="948" t="s">
        <v>455</v>
      </c>
      <c r="C51" s="920" t="s">
        <v>1358</v>
      </c>
      <c r="D51" s="921">
        <f>SUM(6DOCHODY!E322,6DOCHODY!E323,6DOCHODY!E324,6DOCHODY!E553)</f>
        <v>492562</v>
      </c>
      <c r="E51" s="921">
        <f>SUM(6DOCHODY!F322,6DOCHODY!F323,6DOCHODY!F324,6DOCHODY!F553)</f>
        <v>368474</v>
      </c>
      <c r="F51" s="922">
        <f t="shared" si="0"/>
        <v>74.80763842927388</v>
      </c>
      <c r="G51" s="868">
        <f t="shared" si="3"/>
        <v>492562</v>
      </c>
      <c r="H51" s="868">
        <f>'12DiW zlecone'!D39+'13DiW porozumienia'!D27+L51</f>
        <v>367506.78</v>
      </c>
      <c r="I51" s="1013">
        <f t="shared" si="4"/>
        <v>74.61127330163512</v>
      </c>
      <c r="J51" s="923">
        <f t="shared" si="2"/>
        <v>125055.21999999997</v>
      </c>
      <c r="L51" s="857">
        <v>313406.78</v>
      </c>
      <c r="M51" s="570">
        <v>54100</v>
      </c>
      <c r="N51" s="857">
        <f>L51+M51</f>
        <v>367506.78</v>
      </c>
    </row>
    <row r="52" spans="1:12" s="563" customFormat="1" ht="37.5" customHeight="1">
      <c r="A52" s="952" t="s">
        <v>1472</v>
      </c>
      <c r="B52" s="953"/>
      <c r="C52" s="944" t="s">
        <v>746</v>
      </c>
      <c r="D52" s="945">
        <f>SUM(D53,D54,D55)</f>
        <v>35000</v>
      </c>
      <c r="E52" s="945">
        <f>SUM(E53,E54,E55)</f>
        <v>17496</v>
      </c>
      <c r="F52" s="934">
        <f t="shared" si="0"/>
        <v>49.988571428571426</v>
      </c>
      <c r="G52" s="945">
        <f>SUM(G53,G54,G55)</f>
        <v>35000</v>
      </c>
      <c r="H52" s="945">
        <f>SUM(H53,H54,H55)</f>
        <v>17496</v>
      </c>
      <c r="I52" s="1015">
        <f t="shared" si="4"/>
        <v>49.988571428571426</v>
      </c>
      <c r="J52" s="923"/>
      <c r="K52" s="881">
        <f>SUM(H52)</f>
        <v>17496</v>
      </c>
      <c r="L52" s="906"/>
    </row>
    <row r="53" spans="1:12" ht="23.25" customHeight="1" hidden="1">
      <c r="A53" s="947"/>
      <c r="B53" s="948" t="s">
        <v>1473</v>
      </c>
      <c r="C53" s="920" t="s">
        <v>747</v>
      </c>
      <c r="D53" s="921">
        <f>6DOCHODY!E331</f>
        <v>0</v>
      </c>
      <c r="E53" s="921">
        <f>6DOCHODY!F331</f>
        <v>0</v>
      </c>
      <c r="F53" s="922" t="e">
        <f t="shared" si="0"/>
        <v>#DIV/0!</v>
      </c>
      <c r="G53" s="868">
        <f>D53</f>
        <v>0</v>
      </c>
      <c r="H53" s="868">
        <f>L53</f>
        <v>0</v>
      </c>
      <c r="I53" s="1013" t="e">
        <f t="shared" si="4"/>
        <v>#DIV/0!</v>
      </c>
      <c r="J53" s="923"/>
      <c r="K53" s="923"/>
      <c r="L53" s="857"/>
    </row>
    <row r="54" spans="1:12" ht="26.25" customHeight="1">
      <c r="A54" s="947"/>
      <c r="B54" s="948" t="s">
        <v>1480</v>
      </c>
      <c r="C54" s="920" t="s">
        <v>247</v>
      </c>
      <c r="D54" s="921">
        <f>SUM(6DOCHODY!E556)</f>
        <v>35000</v>
      </c>
      <c r="E54" s="921">
        <f>SUM(6DOCHODY!F556)</f>
        <v>17496</v>
      </c>
      <c r="F54" s="922">
        <f t="shared" si="0"/>
        <v>49.988571428571426</v>
      </c>
      <c r="G54" s="868">
        <f>D54</f>
        <v>35000</v>
      </c>
      <c r="H54" s="868">
        <f>SUM('12DiW zlecone'!D65)</f>
        <v>17496</v>
      </c>
      <c r="I54" s="1013">
        <f t="shared" si="4"/>
        <v>49.988571428571426</v>
      </c>
      <c r="J54" s="923">
        <f t="shared" si="2"/>
        <v>17504</v>
      </c>
      <c r="L54" s="857"/>
    </row>
    <row r="55" spans="1:12" ht="20.25" customHeight="1" hidden="1">
      <c r="A55" s="947"/>
      <c r="B55" s="948" t="s">
        <v>534</v>
      </c>
      <c r="C55" s="920" t="s">
        <v>535</v>
      </c>
      <c r="D55" s="921">
        <f>6DOCHODY!E562</f>
        <v>0</v>
      </c>
      <c r="E55" s="921">
        <f>6DOCHODY!F562</f>
        <v>0</v>
      </c>
      <c r="F55" s="922" t="e">
        <f>E55/D55*100</f>
        <v>#DIV/0!</v>
      </c>
      <c r="G55" s="868">
        <f>D55</f>
        <v>0</v>
      </c>
      <c r="H55" s="868"/>
      <c r="I55" s="1013" t="e">
        <f>H55/G55*100</f>
        <v>#DIV/0!</v>
      </c>
      <c r="J55" s="923">
        <f>G55-H55</f>
        <v>0</v>
      </c>
      <c r="L55" s="857"/>
    </row>
    <row r="56" spans="1:12" s="563" customFormat="1" ht="29.25" customHeight="1">
      <c r="A56" s="952" t="s">
        <v>1482</v>
      </c>
      <c r="B56" s="953"/>
      <c r="C56" s="944" t="s">
        <v>1485</v>
      </c>
      <c r="D56" s="945">
        <f>SUM(D57,D58,D59)</f>
        <v>73900</v>
      </c>
      <c r="E56" s="945">
        <f>SUM(E57,E58,E59)</f>
        <v>73900</v>
      </c>
      <c r="F56" s="934">
        <f t="shared" si="0"/>
        <v>100</v>
      </c>
      <c r="G56" s="942">
        <f>SUM(G57,G58,G59)</f>
        <v>73900</v>
      </c>
      <c r="H56" s="942">
        <f>SUM(H57,H58,H59)</f>
        <v>49535.36</v>
      </c>
      <c r="I56" s="1015">
        <f t="shared" si="4"/>
        <v>67.03025710419486</v>
      </c>
      <c r="J56" s="923"/>
      <c r="K56" s="881">
        <f>SUM(H56)</f>
        <v>49535.36</v>
      </c>
      <c r="L56" s="906"/>
    </row>
    <row r="57" spans="1:12" ht="37.5" customHeight="1" hidden="1">
      <c r="A57" s="947"/>
      <c r="B57" s="948" t="s">
        <v>1487</v>
      </c>
      <c r="C57" s="920" t="s">
        <v>1475</v>
      </c>
      <c r="D57" s="921">
        <f>SUM(6DOCHODY!E572)</f>
        <v>0</v>
      </c>
      <c r="E57" s="921">
        <f>SUM(6DOCHODY!F572)</f>
        <v>0</v>
      </c>
      <c r="F57" s="922" t="e">
        <f t="shared" si="0"/>
        <v>#DIV/0!</v>
      </c>
      <c r="G57" s="868">
        <f>D57</f>
        <v>0</v>
      </c>
      <c r="H57" s="868">
        <f>E57</f>
        <v>0</v>
      </c>
      <c r="I57" s="1013" t="e">
        <f t="shared" si="4"/>
        <v>#DIV/0!</v>
      </c>
      <c r="J57" s="923">
        <f t="shared" si="2"/>
        <v>0</v>
      </c>
      <c r="L57" s="857"/>
    </row>
    <row r="58" spans="1:14" ht="20.25" customHeight="1">
      <c r="A58" s="947"/>
      <c r="B58" s="948" t="s">
        <v>50</v>
      </c>
      <c r="C58" s="920" t="s">
        <v>51</v>
      </c>
      <c r="D58" s="921">
        <f>SUM(6DOCHODY!E349,6DOCHODY!E350,6DOCHODY!E576)</f>
        <v>73900</v>
      </c>
      <c r="E58" s="921">
        <f>SUM(6DOCHODY!F349,6DOCHODY!F350,6DOCHODY!F576)</f>
        <v>73900</v>
      </c>
      <c r="F58" s="922">
        <f t="shared" si="0"/>
        <v>100</v>
      </c>
      <c r="G58" s="868">
        <f>D58</f>
        <v>73900</v>
      </c>
      <c r="H58" s="868">
        <f>N58</f>
        <v>49535.36</v>
      </c>
      <c r="I58" s="1013">
        <f t="shared" si="4"/>
        <v>67.03025710419486</v>
      </c>
      <c r="J58" s="923">
        <f t="shared" si="2"/>
        <v>24364.64</v>
      </c>
      <c r="L58" s="857">
        <v>49535.36</v>
      </c>
      <c r="M58" s="570">
        <v>0</v>
      </c>
      <c r="N58" s="857">
        <f>L58+M58</f>
        <v>49535.36</v>
      </c>
    </row>
    <row r="59" spans="1:12" ht="20.25" customHeight="1" hidden="1">
      <c r="A59" s="1020"/>
      <c r="B59" s="630" t="s">
        <v>987</v>
      </c>
      <c r="C59" s="938" t="s">
        <v>1358</v>
      </c>
      <c r="D59" s="1021">
        <f>SUM(6DOCHODY!E583,6DOCHODY!E584)</f>
        <v>0</v>
      </c>
      <c r="E59" s="1021">
        <f>SUM(6DOCHODY!F583,6DOCHODY!F584)</f>
        <v>0</v>
      </c>
      <c r="F59" s="922" t="e">
        <f t="shared" si="0"/>
        <v>#DIV/0!</v>
      </c>
      <c r="G59" s="886">
        <f>D59</f>
        <v>0</v>
      </c>
      <c r="H59" s="886">
        <f>E59</f>
        <v>0</v>
      </c>
      <c r="I59" s="1017" t="e">
        <f t="shared" si="4"/>
        <v>#DIV/0!</v>
      </c>
      <c r="J59" s="923">
        <f t="shared" si="2"/>
        <v>0</v>
      </c>
      <c r="L59" s="857"/>
    </row>
    <row r="60" spans="1:12" s="563" customFormat="1" ht="26.25" customHeight="1" hidden="1">
      <c r="A60" s="952" t="s">
        <v>91</v>
      </c>
      <c r="B60" s="1022"/>
      <c r="C60" s="944" t="s">
        <v>81</v>
      </c>
      <c r="D60" s="945">
        <f>SUM(D61)</f>
        <v>0</v>
      </c>
      <c r="E60" s="945">
        <f>SUM(E61)</f>
        <v>0</v>
      </c>
      <c r="F60" s="934" t="e">
        <f>E60/D60*100</f>
        <v>#DIV/0!</v>
      </c>
      <c r="G60" s="942">
        <f>SUM(G61)</f>
        <v>0</v>
      </c>
      <c r="H60" s="942">
        <f>SUM(H61)</f>
        <v>0</v>
      </c>
      <c r="I60" s="1015" t="e">
        <f>H60/G60*100</f>
        <v>#DIV/0!</v>
      </c>
      <c r="J60" s="923"/>
      <c r="K60" s="880"/>
      <c r="L60" s="906"/>
    </row>
    <row r="61" spans="1:12" ht="21" customHeight="1" hidden="1">
      <c r="A61" s="947"/>
      <c r="B61" s="1023" t="s">
        <v>94</v>
      </c>
      <c r="C61" s="920" t="s">
        <v>95</v>
      </c>
      <c r="D61" s="921">
        <f>SUM(6DOCHODY!E414)</f>
        <v>0</v>
      </c>
      <c r="E61" s="921">
        <f>SUM(6DOCHODY!F414)</f>
        <v>0</v>
      </c>
      <c r="F61" s="922" t="e">
        <f>E61/D61*100</f>
        <v>#DIV/0!</v>
      </c>
      <c r="G61" s="868">
        <f>D61</f>
        <v>0</v>
      </c>
      <c r="H61" s="868">
        <f>E61</f>
        <v>0</v>
      </c>
      <c r="I61" s="1013" t="e">
        <f>H61/G61*100</f>
        <v>#DIV/0!</v>
      </c>
      <c r="J61" s="923">
        <f t="shared" si="2"/>
        <v>0</v>
      </c>
      <c r="L61" s="857"/>
    </row>
    <row r="62" spans="1:12" s="563" customFormat="1" ht="21.75" customHeight="1" thickBot="1">
      <c r="A62" s="1661" t="s">
        <v>165</v>
      </c>
      <c r="B62" s="1662"/>
      <c r="C62" s="1662"/>
      <c r="D62" s="962">
        <f>SUM(D7,D9,D11,D14,D19,D23,D27,D31,D34,D37,D52,D56,D60)</f>
        <v>14834841.1</v>
      </c>
      <c r="E62" s="962">
        <f>SUM(E7,E9,E11,E14,E19,E23,E27,E31,E34,E37,E52,E56,E60)</f>
        <v>8303189.109999999</v>
      </c>
      <c r="F62" s="963">
        <f>E62/D62*100</f>
        <v>55.970866516392945</v>
      </c>
      <c r="G62" s="962">
        <f>SUM(G7,G9,G11,G14,G19,G23,G27,G31,G34,G37,G52,G56,G60)</f>
        <v>14834841.1</v>
      </c>
      <c r="H62" s="962">
        <f>SUM(H7,H9,H11,H14,H19,H23,H27,H31,H34,H37,H52,H56,H60)</f>
        <v>7747369.85</v>
      </c>
      <c r="I62" s="1014">
        <f t="shared" si="4"/>
        <v>52.22415122464642</v>
      </c>
      <c r="J62" s="923">
        <f t="shared" si="2"/>
        <v>7087471.25</v>
      </c>
      <c r="K62" s="881">
        <f>SUM(K7:K58)</f>
        <v>7747369.85</v>
      </c>
      <c r="L62" s="906"/>
    </row>
    <row r="63" spans="1:11" s="961" customFormat="1" ht="15" customHeight="1">
      <c r="A63" s="1660" t="s">
        <v>319</v>
      </c>
      <c r="B63" s="1660"/>
      <c r="C63" s="1660"/>
      <c r="D63" s="1660"/>
      <c r="E63" s="1660"/>
      <c r="F63" s="1660"/>
      <c r="G63" s="1660"/>
      <c r="H63" s="1660"/>
      <c r="I63" s="1660"/>
      <c r="J63" s="960"/>
      <c r="K63" s="1012"/>
    </row>
    <row r="64" spans="4:9" ht="12.75">
      <c r="D64" s="857"/>
      <c r="E64" s="857"/>
      <c r="F64" s="1024"/>
      <c r="G64" s="923"/>
      <c r="H64" s="857"/>
      <c r="I64" s="1025"/>
    </row>
    <row r="65" spans="4:9" ht="15.75" customHeight="1" hidden="1">
      <c r="D65" s="857"/>
      <c r="E65" s="857"/>
      <c r="F65" s="857"/>
      <c r="G65" s="857"/>
      <c r="H65" s="857"/>
      <c r="I65" s="1026"/>
    </row>
    <row r="66" spans="3:12" ht="12.75" hidden="1">
      <c r="C66" s="598" t="s">
        <v>361</v>
      </c>
      <c r="D66" s="857">
        <v>14834841.1</v>
      </c>
      <c r="E66" s="857">
        <v>8303189.11</v>
      </c>
      <c r="F66" s="857"/>
      <c r="G66" s="857">
        <v>14834841.1</v>
      </c>
      <c r="H66" s="857">
        <v>7747369.85</v>
      </c>
      <c r="I66" s="857"/>
      <c r="L66" s="857">
        <f>SUM(L7:L58)</f>
        <v>1280329.5200000003</v>
      </c>
    </row>
    <row r="67" spans="3:9" ht="12.75" hidden="1">
      <c r="C67" s="598" t="s">
        <v>625</v>
      </c>
      <c r="D67" s="857">
        <f>D62-D66</f>
        <v>0</v>
      </c>
      <c r="E67" s="857">
        <f>E62-E66</f>
        <v>0</v>
      </c>
      <c r="F67" s="857"/>
      <c r="G67" s="857">
        <f>G62-G66</f>
        <v>0</v>
      </c>
      <c r="H67" s="857">
        <f>H62-H66</f>
        <v>0</v>
      </c>
      <c r="I67" s="1025"/>
    </row>
    <row r="68" spans="4:9" ht="12.75">
      <c r="D68" s="857"/>
      <c r="E68" s="857"/>
      <c r="F68" s="857"/>
      <c r="G68" s="923"/>
      <c r="H68" s="857"/>
      <c r="I68" s="1025"/>
    </row>
    <row r="69" spans="4:9" ht="12.75">
      <c r="D69" s="1027"/>
      <c r="E69" s="1027"/>
      <c r="F69" s="1024"/>
      <c r="G69" s="1026"/>
      <c r="H69" s="1027"/>
      <c r="I69" s="1025"/>
    </row>
    <row r="70" spans="4:9" ht="12.75">
      <c r="D70" s="1027"/>
      <c r="E70" s="1027"/>
      <c r="F70" s="1024"/>
      <c r="G70" s="1026"/>
      <c r="H70" s="1027"/>
      <c r="I70" s="1025"/>
    </row>
    <row r="71" spans="4:9" ht="12.75">
      <c r="D71" s="1027"/>
      <c r="E71" s="1028"/>
      <c r="F71" s="1024"/>
      <c r="G71" s="1026"/>
      <c r="H71" s="1027"/>
      <c r="I71" s="1025"/>
    </row>
    <row r="72" spans="4:9" ht="12.75">
      <c r="D72" s="1027"/>
      <c r="E72" s="1028"/>
      <c r="F72" s="1024"/>
      <c r="G72" s="1026"/>
      <c r="H72" s="1027"/>
      <c r="I72" s="1025"/>
    </row>
    <row r="73" spans="4:9" ht="12.75">
      <c r="D73" s="1027"/>
      <c r="E73" s="1027"/>
      <c r="F73" s="1024"/>
      <c r="G73" s="1026"/>
      <c r="H73" s="1027"/>
      <c r="I73" s="1025"/>
    </row>
    <row r="74" spans="4:9" ht="12.75">
      <c r="D74" s="1027"/>
      <c r="E74" s="1027"/>
      <c r="F74" s="1024"/>
      <c r="G74" s="1026"/>
      <c r="H74" s="1027"/>
      <c r="I74" s="1025"/>
    </row>
    <row r="75" spans="4:9" ht="12.75">
      <c r="D75" s="1027"/>
      <c r="E75" s="1027"/>
      <c r="F75" s="1024"/>
      <c r="G75" s="1026"/>
      <c r="H75" s="1027"/>
      <c r="I75" s="1025"/>
    </row>
    <row r="76" spans="4:9" ht="12.75">
      <c r="D76" s="1027"/>
      <c r="E76" s="1027"/>
      <c r="F76" s="1024"/>
      <c r="G76" s="1026"/>
      <c r="H76" s="1027"/>
      <c r="I76" s="1025"/>
    </row>
    <row r="77" spans="4:9" ht="12.75">
      <c r="D77" s="1027"/>
      <c r="E77" s="1027"/>
      <c r="F77" s="1024"/>
      <c r="G77" s="1026"/>
      <c r="H77" s="1027"/>
      <c r="I77" s="1025"/>
    </row>
    <row r="78" spans="4:9" ht="12.75">
      <c r="D78" s="1027"/>
      <c r="E78" s="1027"/>
      <c r="F78" s="1024"/>
      <c r="G78" s="1026"/>
      <c r="H78" s="1027"/>
      <c r="I78" s="1025"/>
    </row>
    <row r="79" spans="4:9" ht="12.75">
      <c r="D79" s="1027"/>
      <c r="E79" s="1027"/>
      <c r="F79" s="1024"/>
      <c r="G79" s="1026"/>
      <c r="H79" s="1027"/>
      <c r="I79" s="1025"/>
    </row>
    <row r="80" spans="4:9" ht="12.75">
      <c r="D80" s="1027"/>
      <c r="E80" s="1027"/>
      <c r="F80" s="1024"/>
      <c r="G80" s="1026"/>
      <c r="H80" s="1027"/>
      <c r="I80" s="1025"/>
    </row>
    <row r="81" spans="4:9" ht="12.75">
      <c r="D81" s="1027"/>
      <c r="E81" s="1027"/>
      <c r="F81" s="1024"/>
      <c r="G81" s="1026"/>
      <c r="H81" s="1027"/>
      <c r="I81" s="1025"/>
    </row>
    <row r="82" spans="4:9" ht="12.75">
      <c r="D82" s="1027"/>
      <c r="E82" s="1027"/>
      <c r="F82" s="1024"/>
      <c r="G82" s="1026"/>
      <c r="H82" s="1027"/>
      <c r="I82" s="1025"/>
    </row>
    <row r="83" spans="4:9" ht="12.75">
      <c r="D83" s="1027"/>
      <c r="E83" s="1027"/>
      <c r="F83" s="1024"/>
      <c r="G83" s="1026"/>
      <c r="H83" s="1027"/>
      <c r="I83" s="1025"/>
    </row>
    <row r="84" spans="4:9" ht="12.75">
      <c r="D84" s="1027"/>
      <c r="E84" s="1027"/>
      <c r="F84" s="1024"/>
      <c r="G84" s="1026"/>
      <c r="H84" s="1027"/>
      <c r="I84" s="1025"/>
    </row>
    <row r="85" spans="4:9" ht="12.75">
      <c r="D85" s="1027"/>
      <c r="E85" s="1027"/>
      <c r="F85" s="1024"/>
      <c r="G85" s="1026"/>
      <c r="H85" s="1027"/>
      <c r="I85" s="1025"/>
    </row>
    <row r="86" spans="4:9" ht="12.75">
      <c r="D86" s="1027"/>
      <c r="E86" s="1027"/>
      <c r="F86" s="1024"/>
      <c r="G86" s="1026"/>
      <c r="H86" s="1027"/>
      <c r="I86" s="1025"/>
    </row>
    <row r="87" ht="12.75">
      <c r="I87" s="1025"/>
    </row>
    <row r="88" ht="12.75">
      <c r="I88" s="1025"/>
    </row>
    <row r="89" ht="12.75">
      <c r="I89" s="1025"/>
    </row>
    <row r="90" ht="12.75">
      <c r="I90" s="1025"/>
    </row>
    <row r="91" ht="12.75">
      <c r="I91" s="1025"/>
    </row>
    <row r="92" ht="12.75">
      <c r="I92" s="1025"/>
    </row>
    <row r="93" ht="12.75">
      <c r="I93" s="1025"/>
    </row>
    <row r="94" ht="12.75">
      <c r="I94" s="1025"/>
    </row>
    <row r="95" ht="12.75">
      <c r="I95" s="1025"/>
    </row>
    <row r="96" ht="12.75">
      <c r="I96" s="1025"/>
    </row>
    <row r="97" ht="12.75">
      <c r="I97" s="1025"/>
    </row>
    <row r="98" ht="12.75">
      <c r="I98" s="1025"/>
    </row>
    <row r="99" ht="12.75">
      <c r="I99" s="1025"/>
    </row>
    <row r="100" ht="12.75">
      <c r="I100" s="1025"/>
    </row>
    <row r="101" ht="12.75">
      <c r="I101" s="1025"/>
    </row>
    <row r="102" ht="12.75">
      <c r="I102" s="1025"/>
    </row>
    <row r="103" ht="12.75">
      <c r="I103" s="1025"/>
    </row>
    <row r="104" ht="12.75">
      <c r="I104" s="1025"/>
    </row>
    <row r="105" ht="12.75">
      <c r="I105" s="1025"/>
    </row>
    <row r="106" ht="12.75">
      <c r="I106" s="1025"/>
    </row>
    <row r="107" ht="12.75">
      <c r="I107" s="1025"/>
    </row>
    <row r="108" ht="12.75">
      <c r="I108" s="1025"/>
    </row>
    <row r="109" ht="12.75">
      <c r="I109" s="1025"/>
    </row>
    <row r="110" ht="12.75">
      <c r="I110" s="1025"/>
    </row>
    <row r="111" ht="12.75">
      <c r="I111" s="1025"/>
    </row>
    <row r="112" ht="12.75">
      <c r="I112" s="1025"/>
    </row>
    <row r="113" ht="12.75">
      <c r="I113" s="1025"/>
    </row>
    <row r="114" ht="12.75">
      <c r="I114" s="1025"/>
    </row>
    <row r="115" ht="12.75">
      <c r="I115" s="1025"/>
    </row>
    <row r="116" ht="12.75">
      <c r="I116" s="1025"/>
    </row>
    <row r="117" ht="12.75">
      <c r="I117" s="1025"/>
    </row>
    <row r="118" ht="12.75">
      <c r="I118" s="1025"/>
    </row>
    <row r="119" ht="12.75">
      <c r="I119" s="1025"/>
    </row>
    <row r="120" ht="12.75">
      <c r="I120" s="1025"/>
    </row>
    <row r="121" ht="12.75">
      <c r="I121" s="1025"/>
    </row>
    <row r="122" ht="12.75">
      <c r="I122" s="1025"/>
    </row>
    <row r="123" ht="12.75">
      <c r="I123" s="1025"/>
    </row>
    <row r="124" ht="12.75">
      <c r="I124" s="1025"/>
    </row>
    <row r="125" ht="12.75">
      <c r="I125" s="1025"/>
    </row>
    <row r="126" ht="12.75">
      <c r="I126" s="1025"/>
    </row>
    <row r="127" ht="12.75">
      <c r="I127" s="1025"/>
    </row>
    <row r="128" ht="12.75">
      <c r="I128" s="1025"/>
    </row>
    <row r="129" ht="12.75">
      <c r="I129" s="1025"/>
    </row>
    <row r="130" ht="12.75">
      <c r="I130" s="1025"/>
    </row>
    <row r="131" ht="12.75">
      <c r="I131" s="1025"/>
    </row>
    <row r="132" ht="12.75">
      <c r="I132" s="1025"/>
    </row>
    <row r="133" ht="12.75">
      <c r="I133" s="1025"/>
    </row>
    <row r="134" ht="12.75">
      <c r="I134" s="1025"/>
    </row>
    <row r="135" ht="12.75">
      <c r="I135" s="1025"/>
    </row>
    <row r="136" ht="12.75">
      <c r="I136" s="1025"/>
    </row>
    <row r="137" ht="12.75">
      <c r="I137" s="1025"/>
    </row>
    <row r="138" ht="12.75">
      <c r="I138" s="1025"/>
    </row>
    <row r="139" ht="12.75">
      <c r="I139" s="1025"/>
    </row>
    <row r="140" ht="12.75">
      <c r="I140" s="1025"/>
    </row>
    <row r="141" ht="12.75">
      <c r="I141" s="1025"/>
    </row>
    <row r="142" ht="12.75">
      <c r="I142" s="1025"/>
    </row>
    <row r="143" ht="12.75">
      <c r="I143" s="1025"/>
    </row>
    <row r="144" ht="12.75">
      <c r="I144" s="1025"/>
    </row>
    <row r="145" ht="12.75">
      <c r="I145" s="1025"/>
    </row>
    <row r="146" ht="12.75">
      <c r="I146" s="1025"/>
    </row>
    <row r="147" ht="12.75">
      <c r="I147" s="1025"/>
    </row>
    <row r="148" ht="12.75">
      <c r="I148" s="1025"/>
    </row>
    <row r="149" ht="12.75">
      <c r="I149" s="1025"/>
    </row>
    <row r="150" ht="12.75">
      <c r="I150" s="1025"/>
    </row>
    <row r="151" ht="12.75">
      <c r="I151" s="1025"/>
    </row>
    <row r="152" ht="12.75">
      <c r="I152" s="1025"/>
    </row>
    <row r="153" ht="12.75">
      <c r="I153" s="1025"/>
    </row>
    <row r="154" ht="12.75">
      <c r="I154" s="1025"/>
    </row>
    <row r="155" ht="12.75">
      <c r="I155" s="1025"/>
    </row>
    <row r="156" ht="12.75">
      <c r="I156" s="1025"/>
    </row>
    <row r="157" ht="12.75">
      <c r="I157" s="1025"/>
    </row>
    <row r="158" ht="12.75">
      <c r="I158" s="1025"/>
    </row>
    <row r="159" ht="12.75">
      <c r="I159" s="1025"/>
    </row>
    <row r="160" ht="12.75">
      <c r="I160" s="1025"/>
    </row>
    <row r="161" ht="12.75">
      <c r="I161" s="1025"/>
    </row>
    <row r="162" ht="12.75">
      <c r="I162" s="1025"/>
    </row>
    <row r="163" ht="12.75">
      <c r="I163" s="1025"/>
    </row>
    <row r="164" ht="12.75">
      <c r="I164" s="1025"/>
    </row>
    <row r="165" ht="12.75">
      <c r="I165" s="1025"/>
    </row>
    <row r="166" ht="12.75">
      <c r="I166" s="1025"/>
    </row>
    <row r="167" ht="12.75">
      <c r="I167" s="1025"/>
    </row>
    <row r="168" ht="12.75">
      <c r="I168" s="1025"/>
    </row>
    <row r="169" ht="12.75">
      <c r="I169" s="1025"/>
    </row>
    <row r="170" ht="12.75">
      <c r="I170" s="1025"/>
    </row>
    <row r="171" ht="12.75">
      <c r="I171" s="1025"/>
    </row>
    <row r="172" ht="12.75">
      <c r="I172" s="1025"/>
    </row>
    <row r="173" ht="12.75">
      <c r="I173" s="1025"/>
    </row>
    <row r="174" ht="12.75">
      <c r="I174" s="1025"/>
    </row>
    <row r="175" ht="12.75">
      <c r="I175" s="1025"/>
    </row>
    <row r="176" ht="12.75">
      <c r="I176" s="1025"/>
    </row>
    <row r="177" ht="12.75">
      <c r="I177" s="1025"/>
    </row>
    <row r="178" ht="12.75">
      <c r="I178" s="1025"/>
    </row>
  </sheetData>
  <sheetProtection password="CF53" sheet="1" formatRows="0" insertColumns="0" insertRows="0" insertHyperlinks="0" deleteColumns="0" deleteRows="0" sort="0" autoFilter="0" pivotTables="0"/>
  <mergeCells count="12">
    <mergeCell ref="A4:A5"/>
    <mergeCell ref="B4:B5"/>
    <mergeCell ref="C4:C5"/>
    <mergeCell ref="A2:I2"/>
    <mergeCell ref="K5:K6"/>
    <mergeCell ref="J5:J6"/>
    <mergeCell ref="H1:I1"/>
    <mergeCell ref="A63:I63"/>
    <mergeCell ref="A62:C62"/>
    <mergeCell ref="H3:I3"/>
    <mergeCell ref="D4:F4"/>
    <mergeCell ref="G4:I4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93" r:id="rId1"/>
  <rowBreaks count="1" manualBreakCount="1">
    <brk id="3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L79"/>
  <sheetViews>
    <sheetView defaultGridColor="0" view="pageBreakPreview" zoomScaleSheetLayoutView="100" zoomScalePageLayoutView="0" colorId="8" workbookViewId="0" topLeftCell="A1">
      <pane ySplit="9" topLeftCell="A10" activePane="bottomLeft" state="frozen"/>
      <selection pane="topLeft" activeCell="I244" sqref="I244"/>
      <selection pane="bottomLeft" activeCell="A71" sqref="A71:IV78"/>
    </sheetView>
  </sheetViews>
  <sheetFormatPr defaultColWidth="9.00390625" defaultRowHeight="12.75"/>
  <cols>
    <col min="1" max="1" width="12.25390625" style="6" customWidth="1"/>
    <col min="2" max="2" width="9.625" style="6" customWidth="1"/>
    <col min="3" max="3" width="12.125" style="1" customWidth="1"/>
    <col min="4" max="4" width="13.125" style="174" customWidth="1"/>
    <col min="5" max="5" width="13.125" style="1" customWidth="1"/>
    <col min="6" max="6" width="13.75390625" style="1" customWidth="1"/>
    <col min="7" max="7" width="12.125" style="1" customWidth="1"/>
    <col min="8" max="8" width="11.125" style="1" customWidth="1"/>
    <col min="9" max="9" width="11.00390625" style="1" customWidth="1"/>
    <col min="10" max="10" width="12.25390625" style="1" customWidth="1"/>
    <col min="11" max="11" width="11.00390625" style="1" customWidth="1"/>
    <col min="12" max="12" width="15.125" style="1" hidden="1" customWidth="1"/>
    <col min="13" max="16384" width="9.125" style="1" customWidth="1"/>
  </cols>
  <sheetData>
    <row r="1" spans="1:12" s="174" customFormat="1" ht="12.75">
      <c r="A1" s="964"/>
      <c r="B1" s="964"/>
      <c r="C1" s="869"/>
      <c r="D1" s="869"/>
      <c r="E1" s="869"/>
      <c r="F1" s="869"/>
      <c r="G1" s="869"/>
      <c r="H1" s="869"/>
      <c r="I1" s="869"/>
      <c r="J1" s="869"/>
      <c r="K1" s="880" t="s">
        <v>877</v>
      </c>
      <c r="L1" s="563"/>
    </row>
    <row r="2" spans="1:11" s="174" customFormat="1" ht="21" customHeight="1">
      <c r="A2" s="964"/>
      <c r="B2" s="964"/>
      <c r="C2" s="869"/>
      <c r="D2" s="869"/>
      <c r="E2" s="869"/>
      <c r="F2" s="869"/>
      <c r="G2" s="869"/>
      <c r="H2" s="869"/>
      <c r="I2" s="869"/>
      <c r="J2" s="869"/>
      <c r="K2" s="869"/>
    </row>
    <row r="3" spans="1:11" s="174" customFormat="1" ht="25.5" customHeight="1">
      <c r="A3" s="1620" t="s">
        <v>166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</row>
    <row r="4" spans="1:11" s="174" customFormat="1" ht="12" customHeight="1" thickBot="1">
      <c r="A4" s="964"/>
      <c r="B4" s="964"/>
      <c r="C4" s="869"/>
      <c r="D4" s="869"/>
      <c r="E4" s="869"/>
      <c r="F4" s="869"/>
      <c r="G4" s="869"/>
      <c r="H4" s="869"/>
      <c r="I4" s="869"/>
      <c r="J4" s="869"/>
      <c r="K4" s="178" t="s">
        <v>1351</v>
      </c>
    </row>
    <row r="5" spans="1:11" s="191" customFormat="1" ht="17.25" customHeight="1">
      <c r="A5" s="1683" t="s">
        <v>1353</v>
      </c>
      <c r="B5" s="1665" t="s">
        <v>1352</v>
      </c>
      <c r="C5" s="1664" t="s">
        <v>1119</v>
      </c>
      <c r="D5" s="1664" t="s">
        <v>34</v>
      </c>
      <c r="E5" s="1664" t="s">
        <v>184</v>
      </c>
      <c r="F5" s="1664"/>
      <c r="G5" s="1664"/>
      <c r="H5" s="1664"/>
      <c r="I5" s="1664"/>
      <c r="J5" s="1686"/>
      <c r="K5" s="1687"/>
    </row>
    <row r="6" spans="1:12" s="191" customFormat="1" ht="17.25" customHeight="1">
      <c r="A6" s="1589"/>
      <c r="B6" s="1591"/>
      <c r="C6" s="1593"/>
      <c r="D6" s="1593"/>
      <c r="E6" s="1680" t="s">
        <v>1053</v>
      </c>
      <c r="F6" s="1671" t="s">
        <v>378</v>
      </c>
      <c r="G6" s="1672"/>
      <c r="H6" s="1672"/>
      <c r="I6" s="1672"/>
      <c r="J6" s="1673"/>
      <c r="K6" s="1675" t="s">
        <v>1120</v>
      </c>
      <c r="L6" s="1681" t="s">
        <v>367</v>
      </c>
    </row>
    <row r="7" spans="1:12" s="191" customFormat="1" ht="26.25" customHeight="1">
      <c r="A7" s="1684"/>
      <c r="B7" s="1685"/>
      <c r="C7" s="1685"/>
      <c r="D7" s="1674"/>
      <c r="E7" s="1688"/>
      <c r="F7" s="1674" t="s">
        <v>33</v>
      </c>
      <c r="G7" s="1674"/>
      <c r="H7" s="1674" t="s">
        <v>30</v>
      </c>
      <c r="I7" s="1678" t="s">
        <v>31</v>
      </c>
      <c r="J7" s="1680" t="s">
        <v>32</v>
      </c>
      <c r="K7" s="1676"/>
      <c r="L7" s="1681"/>
    </row>
    <row r="8" spans="1:11" s="191" customFormat="1" ht="63" customHeight="1">
      <c r="A8" s="1684"/>
      <c r="B8" s="1685"/>
      <c r="C8" s="1685"/>
      <c r="D8" s="1674"/>
      <c r="E8" s="1593"/>
      <c r="F8" s="1417" t="s">
        <v>888</v>
      </c>
      <c r="G8" s="1417" t="s">
        <v>29</v>
      </c>
      <c r="H8" s="1674"/>
      <c r="I8" s="1679"/>
      <c r="J8" s="1593"/>
      <c r="K8" s="1677"/>
    </row>
    <row r="9" spans="1:11" s="174" customFormat="1" ht="14.25" customHeight="1">
      <c r="A9" s="215">
        <v>1</v>
      </c>
      <c r="B9" s="208">
        <v>2</v>
      </c>
      <c r="C9" s="208">
        <v>3</v>
      </c>
      <c r="D9" s="208">
        <v>4</v>
      </c>
      <c r="E9" s="208">
        <v>5</v>
      </c>
      <c r="F9" s="208">
        <v>6</v>
      </c>
      <c r="G9" s="208">
        <v>7</v>
      </c>
      <c r="H9" s="208">
        <v>8</v>
      </c>
      <c r="I9" s="208">
        <v>9</v>
      </c>
      <c r="J9" s="208">
        <v>10</v>
      </c>
      <c r="K9" s="967">
        <v>11</v>
      </c>
    </row>
    <row r="10" spans="1:11" s="985" customFormat="1" ht="19.5" customHeight="1">
      <c r="A10" s="965" t="s">
        <v>1354</v>
      </c>
      <c r="B10" s="180" t="s">
        <v>521</v>
      </c>
      <c r="C10" s="968">
        <f>SUM(C12,C14,C16,C18,C20,C22,C24,C26,C28,C30,C32,C34,C36,C38)</f>
        <v>6460710.11</v>
      </c>
      <c r="D10" s="968">
        <f>SUM(D12,D14,D16,D18,D20,D22,D24,D26,D28,D30,D32,D34,D36,D38)</f>
        <v>6460710.11</v>
      </c>
      <c r="E10" s="968">
        <f aca="true" t="shared" si="0" ref="E10:K10">SUM(E12,E14,E16,E18,E20,E22,E24,E26,E28,E30,E32,E34,E36,E38)</f>
        <v>6460710.11</v>
      </c>
      <c r="F10" s="968">
        <f t="shared" si="0"/>
        <v>771733</v>
      </c>
      <c r="G10" s="968">
        <f t="shared" si="0"/>
        <v>48432.11</v>
      </c>
      <c r="H10" s="968">
        <f t="shared" si="0"/>
        <v>217000</v>
      </c>
      <c r="I10" s="968">
        <f t="shared" si="0"/>
        <v>5423545</v>
      </c>
      <c r="J10" s="968">
        <f t="shared" si="0"/>
        <v>0</v>
      </c>
      <c r="K10" s="995">
        <f t="shared" si="0"/>
        <v>0</v>
      </c>
    </row>
    <row r="11" spans="1:11" s="174" customFormat="1" ht="19.5" customHeight="1">
      <c r="A11" s="969" t="s">
        <v>1355</v>
      </c>
      <c r="B11" s="970" t="s">
        <v>521</v>
      </c>
      <c r="C11" s="942">
        <f>SUM(C13,C15,C17,C19,C21,C23,C25,C27,C29,C31,C33,C35,C37,C39)</f>
        <v>3345889.11</v>
      </c>
      <c r="D11" s="942">
        <f aca="true" t="shared" si="1" ref="D11:K11">SUM(D13,D15,D17,D19,D21,D23,D25,D27,D29,D31,D33,D35,D37,D39)</f>
        <v>3290574.7799999993</v>
      </c>
      <c r="E11" s="942">
        <f t="shared" si="1"/>
        <v>3290574.7799999993</v>
      </c>
      <c r="F11" s="942">
        <f t="shared" si="1"/>
        <v>406181.13999999996</v>
      </c>
      <c r="G11" s="942">
        <f t="shared" si="1"/>
        <v>37276.64</v>
      </c>
      <c r="H11" s="942">
        <f t="shared" si="1"/>
        <v>91200</v>
      </c>
      <c r="I11" s="942">
        <f t="shared" si="1"/>
        <v>2755917</v>
      </c>
      <c r="J11" s="942">
        <f t="shared" si="1"/>
        <v>0</v>
      </c>
      <c r="K11" s="1416">
        <f t="shared" si="1"/>
        <v>0</v>
      </c>
    </row>
    <row r="12" spans="1:11" s="985" customFormat="1" ht="19.5" customHeight="1">
      <c r="A12" s="971" t="s">
        <v>1354</v>
      </c>
      <c r="B12" s="972" t="s">
        <v>655</v>
      </c>
      <c r="C12" s="973">
        <f>SUM(6DOCHODY!E10)</f>
        <v>22321.11</v>
      </c>
      <c r="D12" s="973">
        <f aca="true" t="shared" si="2" ref="D12:D29">SUM(E12,K12)</f>
        <v>22321.11</v>
      </c>
      <c r="E12" s="973">
        <f aca="true" t="shared" si="3" ref="E12:E17">SUM(F12,G12,H12,I12,J12)</f>
        <v>22321.11</v>
      </c>
      <c r="F12" s="973">
        <v>0</v>
      </c>
      <c r="G12" s="973">
        <v>22321.11</v>
      </c>
      <c r="H12" s="973">
        <v>0</v>
      </c>
      <c r="I12" s="973">
        <v>0</v>
      </c>
      <c r="J12" s="986">
        <v>0</v>
      </c>
      <c r="K12" s="987">
        <v>0</v>
      </c>
    </row>
    <row r="13" spans="1:11" s="174" customFormat="1" ht="19.5" customHeight="1">
      <c r="A13" s="215" t="s">
        <v>1355</v>
      </c>
      <c r="B13" s="852" t="s">
        <v>655</v>
      </c>
      <c r="C13" s="853">
        <f>SUM(6DOCHODY!F10)</f>
        <v>22321.11</v>
      </c>
      <c r="D13" s="853">
        <f t="shared" si="2"/>
        <v>22321.11</v>
      </c>
      <c r="E13" s="868">
        <f t="shared" si="3"/>
        <v>22321.11</v>
      </c>
      <c r="F13" s="853">
        <v>0</v>
      </c>
      <c r="G13" s="853">
        <v>22321.11</v>
      </c>
      <c r="H13" s="853">
        <v>0</v>
      </c>
      <c r="I13" s="853">
        <v>0</v>
      </c>
      <c r="J13" s="874">
        <v>0</v>
      </c>
      <c r="K13" s="988">
        <v>0</v>
      </c>
    </row>
    <row r="14" spans="1:11" s="985" customFormat="1" ht="19.5" customHeight="1">
      <c r="A14" s="971" t="s">
        <v>1354</v>
      </c>
      <c r="B14" s="974">
        <v>75011</v>
      </c>
      <c r="C14" s="973">
        <f>SUM(6DOCHODY!E104)</f>
        <v>373400</v>
      </c>
      <c r="D14" s="973">
        <f t="shared" si="2"/>
        <v>373400</v>
      </c>
      <c r="E14" s="973">
        <f t="shared" si="3"/>
        <v>373400</v>
      </c>
      <c r="F14" s="973">
        <v>373400</v>
      </c>
      <c r="G14" s="973">
        <v>0</v>
      </c>
      <c r="H14" s="973">
        <v>0</v>
      </c>
      <c r="I14" s="973">
        <v>0</v>
      </c>
      <c r="J14" s="986">
        <v>0</v>
      </c>
      <c r="K14" s="987">
        <v>0</v>
      </c>
    </row>
    <row r="15" spans="1:11" s="174" customFormat="1" ht="19.5" customHeight="1">
      <c r="A15" s="215" t="s">
        <v>1355</v>
      </c>
      <c r="B15" s="208">
        <v>75011</v>
      </c>
      <c r="C15" s="853">
        <f>SUM(6DOCHODY!F104)</f>
        <v>202261</v>
      </c>
      <c r="D15" s="853">
        <f t="shared" si="2"/>
        <v>202261</v>
      </c>
      <c r="E15" s="868">
        <f t="shared" si="3"/>
        <v>202261</v>
      </c>
      <c r="F15" s="853">
        <v>202261</v>
      </c>
      <c r="G15" s="853">
        <v>0</v>
      </c>
      <c r="H15" s="853">
        <v>0</v>
      </c>
      <c r="I15" s="853">
        <v>0</v>
      </c>
      <c r="J15" s="874">
        <v>0</v>
      </c>
      <c r="K15" s="988">
        <v>0</v>
      </c>
    </row>
    <row r="16" spans="1:11" s="985" customFormat="1" ht="19.5" customHeight="1" hidden="1">
      <c r="A16" s="971" t="s">
        <v>1354</v>
      </c>
      <c r="B16" s="974">
        <v>75056</v>
      </c>
      <c r="C16" s="973">
        <f>SUM(6DOCHODY!E115)</f>
        <v>0</v>
      </c>
      <c r="D16" s="973">
        <f>SUM(E16,K16)</f>
        <v>0</v>
      </c>
      <c r="E16" s="973">
        <f t="shared" si="3"/>
        <v>0</v>
      </c>
      <c r="F16" s="973">
        <v>0</v>
      </c>
      <c r="G16" s="973">
        <v>0</v>
      </c>
      <c r="H16" s="973">
        <v>0</v>
      </c>
      <c r="I16" s="973">
        <v>0</v>
      </c>
      <c r="J16" s="986">
        <v>0</v>
      </c>
      <c r="K16" s="987">
        <v>0</v>
      </c>
    </row>
    <row r="17" spans="1:11" s="174" customFormat="1" ht="19.5" customHeight="1" hidden="1">
      <c r="A17" s="215" t="s">
        <v>1355</v>
      </c>
      <c r="B17" s="208">
        <v>75056</v>
      </c>
      <c r="C17" s="853">
        <f>SUM(6DOCHODY!F115)</f>
        <v>0</v>
      </c>
      <c r="D17" s="853">
        <f>SUM(E17,K17)</f>
        <v>0</v>
      </c>
      <c r="E17" s="868">
        <f t="shared" si="3"/>
        <v>0</v>
      </c>
      <c r="F17" s="853">
        <v>0</v>
      </c>
      <c r="G17" s="853">
        <v>0</v>
      </c>
      <c r="H17" s="853">
        <v>0</v>
      </c>
      <c r="I17" s="853">
        <v>0</v>
      </c>
      <c r="J17" s="874">
        <v>0</v>
      </c>
      <c r="K17" s="988">
        <v>0</v>
      </c>
    </row>
    <row r="18" spans="1:11" s="985" customFormat="1" ht="19.5" customHeight="1">
      <c r="A18" s="971" t="s">
        <v>1354</v>
      </c>
      <c r="B18" s="974">
        <v>75101</v>
      </c>
      <c r="C18" s="973">
        <f>SUM(6DOCHODY!E135)</f>
        <v>7164</v>
      </c>
      <c r="D18" s="973">
        <f t="shared" si="2"/>
        <v>7164</v>
      </c>
      <c r="E18" s="973">
        <f aca="true" t="shared" si="4" ref="E18:E35">SUM(F18,G18,H18,I18,J18)</f>
        <v>7164</v>
      </c>
      <c r="F18" s="973">
        <v>7164</v>
      </c>
      <c r="G18" s="973">
        <v>0</v>
      </c>
      <c r="H18" s="973">
        <v>0</v>
      </c>
      <c r="I18" s="973">
        <v>0</v>
      </c>
      <c r="J18" s="986">
        <v>0</v>
      </c>
      <c r="K18" s="987">
        <v>0</v>
      </c>
    </row>
    <row r="19" spans="1:11" s="992" customFormat="1" ht="19.5" customHeight="1">
      <c r="A19" s="215" t="s">
        <v>1355</v>
      </c>
      <c r="B19" s="975">
        <v>75101</v>
      </c>
      <c r="C19" s="868">
        <f>SUM(6DOCHODY!F135)</f>
        <v>3582</v>
      </c>
      <c r="D19" s="989">
        <f t="shared" si="2"/>
        <v>382.85</v>
      </c>
      <c r="E19" s="868">
        <f t="shared" si="4"/>
        <v>382.85</v>
      </c>
      <c r="F19" s="989">
        <v>382.85</v>
      </c>
      <c r="G19" s="989">
        <v>0</v>
      </c>
      <c r="H19" s="989">
        <v>0</v>
      </c>
      <c r="I19" s="989">
        <v>0</v>
      </c>
      <c r="J19" s="990">
        <v>0</v>
      </c>
      <c r="K19" s="991">
        <v>0</v>
      </c>
    </row>
    <row r="20" spans="1:11" s="985" customFormat="1" ht="19.5" customHeight="1" hidden="1">
      <c r="A20" s="971" t="s">
        <v>1354</v>
      </c>
      <c r="B20" s="974">
        <v>75108</v>
      </c>
      <c r="C20" s="973">
        <f>6DOCHODY!E137</f>
        <v>0</v>
      </c>
      <c r="D20" s="973">
        <f>SUM(E20,K20)</f>
        <v>0</v>
      </c>
      <c r="E20" s="973">
        <f>SUM(F20,G20,H20,I20,J20)</f>
        <v>0</v>
      </c>
      <c r="F20" s="973">
        <v>0</v>
      </c>
      <c r="G20" s="973">
        <v>0</v>
      </c>
      <c r="H20" s="973">
        <v>0</v>
      </c>
      <c r="I20" s="973">
        <v>0</v>
      </c>
      <c r="J20" s="986">
        <v>0</v>
      </c>
      <c r="K20" s="987">
        <v>0</v>
      </c>
    </row>
    <row r="21" spans="1:11" s="992" customFormat="1" ht="19.5" customHeight="1" hidden="1">
      <c r="A21" s="215" t="s">
        <v>1355</v>
      </c>
      <c r="B21" s="975">
        <v>75108</v>
      </c>
      <c r="C21" s="868">
        <f>6DOCHODY!F137</f>
        <v>0</v>
      </c>
      <c r="D21" s="989">
        <f>SUM(E21,K21)</f>
        <v>0</v>
      </c>
      <c r="E21" s="868">
        <f>SUM(F21,G21,H21,I21,J21)</f>
        <v>0</v>
      </c>
      <c r="F21" s="989">
        <v>0</v>
      </c>
      <c r="G21" s="989">
        <v>0</v>
      </c>
      <c r="H21" s="989">
        <v>0</v>
      </c>
      <c r="I21" s="989">
        <v>0</v>
      </c>
      <c r="J21" s="990">
        <v>0</v>
      </c>
      <c r="K21" s="991">
        <v>0</v>
      </c>
    </row>
    <row r="22" spans="1:11" s="985" customFormat="1" ht="19.5" customHeight="1">
      <c r="A22" s="976" t="s">
        <v>1354</v>
      </c>
      <c r="B22" s="977">
        <v>85195</v>
      </c>
      <c r="C22" s="978">
        <f>SUM(6DOCHODY!E265)</f>
        <v>7000</v>
      </c>
      <c r="D22" s="978">
        <f>SUM(E22,K22)</f>
        <v>7000</v>
      </c>
      <c r="E22" s="973">
        <f t="shared" si="4"/>
        <v>7000</v>
      </c>
      <c r="F22" s="978">
        <v>5996</v>
      </c>
      <c r="G22" s="978">
        <v>1004</v>
      </c>
      <c r="H22" s="978">
        <v>0</v>
      </c>
      <c r="I22" s="978">
        <v>0</v>
      </c>
      <c r="J22" s="993">
        <v>0</v>
      </c>
      <c r="K22" s="994">
        <v>0</v>
      </c>
    </row>
    <row r="23" spans="1:11" s="174" customFormat="1" ht="19.5" customHeight="1">
      <c r="A23" s="215" t="s">
        <v>1355</v>
      </c>
      <c r="B23" s="208">
        <v>85195</v>
      </c>
      <c r="C23" s="853">
        <f>6DOCHODY!F265</f>
        <v>3498</v>
      </c>
      <c r="D23" s="853">
        <f>SUM(E23,K23)</f>
        <v>2483.15</v>
      </c>
      <c r="E23" s="868">
        <f t="shared" si="4"/>
        <v>2483.15</v>
      </c>
      <c r="F23" s="853">
        <v>2483.15</v>
      </c>
      <c r="G23" s="853">
        <v>0</v>
      </c>
      <c r="H23" s="853">
        <v>0</v>
      </c>
      <c r="I23" s="853">
        <v>0</v>
      </c>
      <c r="J23" s="874">
        <v>0</v>
      </c>
      <c r="K23" s="988">
        <v>0</v>
      </c>
    </row>
    <row r="24" spans="1:11" s="985" customFormat="1" ht="19.5" customHeight="1">
      <c r="A24" s="976" t="s">
        <v>1354</v>
      </c>
      <c r="B24" s="977">
        <v>85203</v>
      </c>
      <c r="C24" s="978">
        <f>SUM(6DOCHODY!E277)</f>
        <v>217000</v>
      </c>
      <c r="D24" s="978">
        <f t="shared" si="2"/>
        <v>217000</v>
      </c>
      <c r="E24" s="973">
        <f t="shared" si="4"/>
        <v>217000</v>
      </c>
      <c r="F24" s="978">
        <v>0</v>
      </c>
      <c r="G24" s="978">
        <v>0</v>
      </c>
      <c r="H24" s="978">
        <v>217000</v>
      </c>
      <c r="I24" s="978">
        <v>0</v>
      </c>
      <c r="J24" s="993">
        <v>0</v>
      </c>
      <c r="K24" s="994">
        <v>0</v>
      </c>
    </row>
    <row r="25" spans="1:11" s="174" customFormat="1" ht="19.5" customHeight="1">
      <c r="A25" s="215" t="s">
        <v>1355</v>
      </c>
      <c r="B25" s="208">
        <v>85203</v>
      </c>
      <c r="C25" s="853">
        <f>SUM(6DOCHODY!F277)</f>
        <v>91200</v>
      </c>
      <c r="D25" s="853">
        <f t="shared" si="2"/>
        <v>91200</v>
      </c>
      <c r="E25" s="868">
        <f t="shared" si="4"/>
        <v>91200</v>
      </c>
      <c r="F25" s="853">
        <v>0</v>
      </c>
      <c r="G25" s="853">
        <v>0</v>
      </c>
      <c r="H25" s="853">
        <v>91200</v>
      </c>
      <c r="I25" s="853">
        <v>0</v>
      </c>
      <c r="J25" s="874">
        <v>0</v>
      </c>
      <c r="K25" s="988">
        <v>0</v>
      </c>
    </row>
    <row r="26" spans="1:11" s="985" customFormat="1" ht="19.5" customHeight="1">
      <c r="A26" s="971" t="s">
        <v>1354</v>
      </c>
      <c r="B26" s="974">
        <v>85212</v>
      </c>
      <c r="C26" s="973">
        <f>SUM(6DOCHODY!E289)</f>
        <v>5601000</v>
      </c>
      <c r="D26" s="973">
        <f t="shared" si="2"/>
        <v>5601000</v>
      </c>
      <c r="E26" s="973">
        <f t="shared" si="4"/>
        <v>5601000</v>
      </c>
      <c r="F26" s="973">
        <v>284990</v>
      </c>
      <c r="G26" s="973">
        <v>20040</v>
      </c>
      <c r="H26" s="973">
        <v>0</v>
      </c>
      <c r="I26" s="973">
        <v>5295970</v>
      </c>
      <c r="J26" s="986">
        <v>0</v>
      </c>
      <c r="K26" s="987">
        <v>0</v>
      </c>
    </row>
    <row r="27" spans="1:11" s="174" customFormat="1" ht="19.5" customHeight="1">
      <c r="A27" s="215" t="s">
        <v>1355</v>
      </c>
      <c r="B27" s="208">
        <v>85212</v>
      </c>
      <c r="C27" s="853">
        <f>SUM(6DOCHODY!F289)</f>
        <v>2906500</v>
      </c>
      <c r="D27" s="853">
        <f t="shared" si="2"/>
        <v>2858955.01</v>
      </c>
      <c r="E27" s="868">
        <f t="shared" si="4"/>
        <v>2858955.01</v>
      </c>
      <c r="F27" s="853">
        <v>147352.83</v>
      </c>
      <c r="G27" s="853">
        <v>11885.18</v>
      </c>
      <c r="H27" s="853">
        <v>0</v>
      </c>
      <c r="I27" s="853">
        <v>2699717</v>
      </c>
      <c r="J27" s="874">
        <v>0</v>
      </c>
      <c r="K27" s="988">
        <v>0</v>
      </c>
    </row>
    <row r="28" spans="1:11" s="985" customFormat="1" ht="19.5" customHeight="1">
      <c r="A28" s="971" t="s">
        <v>1354</v>
      </c>
      <c r="B28" s="974">
        <v>85213</v>
      </c>
      <c r="C28" s="973">
        <f>SUM(6DOCHODY!E294)</f>
        <v>30000</v>
      </c>
      <c r="D28" s="973">
        <f t="shared" si="2"/>
        <v>30000</v>
      </c>
      <c r="E28" s="973">
        <f t="shared" si="4"/>
        <v>30000</v>
      </c>
      <c r="F28" s="973">
        <v>30000</v>
      </c>
      <c r="G28" s="973">
        <v>0</v>
      </c>
      <c r="H28" s="973">
        <v>0</v>
      </c>
      <c r="I28" s="973">
        <v>0</v>
      </c>
      <c r="J28" s="986">
        <v>0</v>
      </c>
      <c r="K28" s="987">
        <v>0</v>
      </c>
    </row>
    <row r="29" spans="1:11" s="174" customFormat="1" ht="19.5" customHeight="1">
      <c r="A29" s="215" t="s">
        <v>1355</v>
      </c>
      <c r="B29" s="208">
        <v>85213</v>
      </c>
      <c r="C29" s="853">
        <f>SUM(6DOCHODY!F294)</f>
        <v>21500</v>
      </c>
      <c r="D29" s="853">
        <f t="shared" si="2"/>
        <v>21407.88</v>
      </c>
      <c r="E29" s="868">
        <f t="shared" si="4"/>
        <v>21407.88</v>
      </c>
      <c r="F29" s="853">
        <v>21407.88</v>
      </c>
      <c r="G29" s="853">
        <v>0</v>
      </c>
      <c r="H29" s="853">
        <v>0</v>
      </c>
      <c r="I29" s="853">
        <v>0</v>
      </c>
      <c r="J29" s="874">
        <v>0</v>
      </c>
      <c r="K29" s="988">
        <v>0</v>
      </c>
    </row>
    <row r="30" spans="1:11" s="985" customFormat="1" ht="19.5" customHeight="1" hidden="1">
      <c r="A30" s="971" t="s">
        <v>1354</v>
      </c>
      <c r="B30" s="974">
        <v>85214</v>
      </c>
      <c r="C30" s="973">
        <f>SUM(6DOCHODY!E299)</f>
        <v>0</v>
      </c>
      <c r="D30" s="973">
        <f aca="true" t="shared" si="5" ref="D30:D39">SUM(E30,K30)</f>
        <v>0</v>
      </c>
      <c r="E30" s="973">
        <f t="shared" si="4"/>
        <v>0</v>
      </c>
      <c r="F30" s="973">
        <v>0</v>
      </c>
      <c r="G30" s="973">
        <v>0</v>
      </c>
      <c r="H30" s="973">
        <v>0</v>
      </c>
      <c r="I30" s="973">
        <v>0</v>
      </c>
      <c r="J30" s="986">
        <v>0</v>
      </c>
      <c r="K30" s="987">
        <v>0</v>
      </c>
    </row>
    <row r="31" spans="1:11" s="174" customFormat="1" ht="19.5" customHeight="1" hidden="1">
      <c r="A31" s="215" t="s">
        <v>1355</v>
      </c>
      <c r="B31" s="208">
        <v>85214</v>
      </c>
      <c r="C31" s="853">
        <f>SUM(6DOCHODY!F299)</f>
        <v>0</v>
      </c>
      <c r="D31" s="853">
        <f t="shared" si="5"/>
        <v>0</v>
      </c>
      <c r="E31" s="868">
        <f t="shared" si="4"/>
        <v>0</v>
      </c>
      <c r="F31" s="853">
        <v>0</v>
      </c>
      <c r="G31" s="853">
        <v>0</v>
      </c>
      <c r="H31" s="853">
        <v>0</v>
      </c>
      <c r="I31" s="853">
        <v>0</v>
      </c>
      <c r="J31" s="874">
        <v>0</v>
      </c>
      <c r="K31" s="988">
        <v>0</v>
      </c>
    </row>
    <row r="32" spans="1:11" s="985" customFormat="1" ht="19.5" customHeight="1">
      <c r="A32" s="971" t="s">
        <v>1354</v>
      </c>
      <c r="B32" s="974">
        <v>85219</v>
      </c>
      <c r="C32" s="973">
        <f>6DOCHODY!E310</f>
        <v>4263</v>
      </c>
      <c r="D32" s="973">
        <f>SUM(E32,K32)</f>
        <v>4263</v>
      </c>
      <c r="E32" s="973">
        <f>SUM(F32,G32,H32,I32,J32)</f>
        <v>4263</v>
      </c>
      <c r="F32" s="973">
        <v>0</v>
      </c>
      <c r="G32" s="973">
        <v>63</v>
      </c>
      <c r="H32" s="973">
        <v>0</v>
      </c>
      <c r="I32" s="973">
        <v>4200</v>
      </c>
      <c r="J32" s="986">
        <v>0</v>
      </c>
      <c r="K32" s="987">
        <v>0</v>
      </c>
    </row>
    <row r="33" spans="1:11" s="174" customFormat="1" ht="19.5" customHeight="1">
      <c r="A33" s="215" t="s">
        <v>1355</v>
      </c>
      <c r="B33" s="208">
        <v>85219</v>
      </c>
      <c r="C33" s="853">
        <f>6DOCHODY!F310</f>
        <v>4263</v>
      </c>
      <c r="D33" s="853">
        <f>SUM(E33,K33)</f>
        <v>2100</v>
      </c>
      <c r="E33" s="868">
        <f>SUM(F33,G33,H33,I33,J33)</f>
        <v>2100</v>
      </c>
      <c r="F33" s="853">
        <v>0</v>
      </c>
      <c r="G33" s="853">
        <v>0</v>
      </c>
      <c r="H33" s="853">
        <v>0</v>
      </c>
      <c r="I33" s="853">
        <v>2100</v>
      </c>
      <c r="J33" s="874">
        <v>0</v>
      </c>
      <c r="K33" s="988">
        <v>0</v>
      </c>
    </row>
    <row r="34" spans="1:11" s="985" customFormat="1" ht="19.5" customHeight="1">
      <c r="A34" s="971" t="s">
        <v>1354</v>
      </c>
      <c r="B34" s="974">
        <v>85228</v>
      </c>
      <c r="C34" s="973">
        <f>SUM(6DOCHODY!E317)</f>
        <v>72000</v>
      </c>
      <c r="D34" s="973">
        <f t="shared" si="5"/>
        <v>72000</v>
      </c>
      <c r="E34" s="973">
        <f t="shared" si="4"/>
        <v>72000</v>
      </c>
      <c r="F34" s="973">
        <v>66996</v>
      </c>
      <c r="G34" s="973">
        <v>5004</v>
      </c>
      <c r="H34" s="973">
        <v>0</v>
      </c>
      <c r="I34" s="973">
        <v>0</v>
      </c>
      <c r="J34" s="986">
        <v>0</v>
      </c>
      <c r="K34" s="987">
        <v>0</v>
      </c>
    </row>
    <row r="35" spans="1:11" s="174" customFormat="1" ht="19.5" customHeight="1">
      <c r="A35" s="215" t="s">
        <v>1355</v>
      </c>
      <c r="B35" s="208">
        <v>85228</v>
      </c>
      <c r="C35" s="853">
        <f>SUM(6DOCHODY!F317)</f>
        <v>36000</v>
      </c>
      <c r="D35" s="853">
        <f t="shared" si="5"/>
        <v>35363.78</v>
      </c>
      <c r="E35" s="868">
        <f t="shared" si="4"/>
        <v>35363.78</v>
      </c>
      <c r="F35" s="853">
        <v>32293.43</v>
      </c>
      <c r="G35" s="853">
        <v>3070.35</v>
      </c>
      <c r="H35" s="853">
        <v>0</v>
      </c>
      <c r="I35" s="853">
        <v>0</v>
      </c>
      <c r="J35" s="874">
        <v>0</v>
      </c>
      <c r="K35" s="988">
        <v>0</v>
      </c>
    </row>
    <row r="36" spans="1:11" s="985" customFormat="1" ht="19.5" customHeight="1" hidden="1">
      <c r="A36" s="971" t="s">
        <v>1354</v>
      </c>
      <c r="B36" s="974">
        <v>85278</v>
      </c>
      <c r="C36" s="973">
        <f>SUM(6DOCHODY!E319)</f>
        <v>0</v>
      </c>
      <c r="D36" s="973">
        <f t="shared" si="5"/>
        <v>0</v>
      </c>
      <c r="E36" s="973">
        <f>SUM(F36,G36,H36,I36,J36)</f>
        <v>0</v>
      </c>
      <c r="F36" s="973">
        <v>0</v>
      </c>
      <c r="G36" s="973">
        <v>0</v>
      </c>
      <c r="H36" s="973">
        <v>0</v>
      </c>
      <c r="I36" s="973">
        <v>0</v>
      </c>
      <c r="J36" s="986">
        <v>0</v>
      </c>
      <c r="K36" s="987">
        <v>0</v>
      </c>
    </row>
    <row r="37" spans="1:11" s="174" customFormat="1" ht="19.5" customHeight="1" hidden="1">
      <c r="A37" s="215" t="s">
        <v>1355</v>
      </c>
      <c r="B37" s="208">
        <v>85278</v>
      </c>
      <c r="C37" s="853">
        <f>SUM(6DOCHODY!F319)</f>
        <v>0</v>
      </c>
      <c r="D37" s="853">
        <f t="shared" si="5"/>
        <v>0</v>
      </c>
      <c r="E37" s="868">
        <f>SUM(F37,G37,H37,I37,J37)</f>
        <v>0</v>
      </c>
      <c r="F37" s="853">
        <v>0</v>
      </c>
      <c r="G37" s="853">
        <v>0</v>
      </c>
      <c r="H37" s="853">
        <v>0</v>
      </c>
      <c r="I37" s="853">
        <v>0</v>
      </c>
      <c r="J37" s="874">
        <v>0</v>
      </c>
      <c r="K37" s="988">
        <v>0</v>
      </c>
    </row>
    <row r="38" spans="1:11" s="985" customFormat="1" ht="19.5" customHeight="1">
      <c r="A38" s="971" t="s">
        <v>1354</v>
      </c>
      <c r="B38" s="974">
        <v>85295</v>
      </c>
      <c r="C38" s="973">
        <f>6DOCHODY!E323</f>
        <v>126562</v>
      </c>
      <c r="D38" s="973">
        <f t="shared" si="5"/>
        <v>126562</v>
      </c>
      <c r="E38" s="973">
        <f>SUM(F38,G38,H38,I38,J38)</f>
        <v>126562</v>
      </c>
      <c r="F38" s="973">
        <v>3187</v>
      </c>
      <c r="G38" s="973">
        <v>0</v>
      </c>
      <c r="H38" s="973">
        <v>0</v>
      </c>
      <c r="I38" s="973">
        <v>123375</v>
      </c>
      <c r="J38" s="986">
        <v>0</v>
      </c>
      <c r="K38" s="987">
        <v>0</v>
      </c>
    </row>
    <row r="39" spans="1:11" s="174" customFormat="1" ht="19.5" customHeight="1">
      <c r="A39" s="215" t="s">
        <v>1355</v>
      </c>
      <c r="B39" s="208">
        <v>85295</v>
      </c>
      <c r="C39" s="868">
        <f>6DOCHODY!F323</f>
        <v>54764</v>
      </c>
      <c r="D39" s="853">
        <f t="shared" si="5"/>
        <v>54100</v>
      </c>
      <c r="E39" s="868">
        <f>SUM(F39,G39,H39,I39,J39)</f>
        <v>54100</v>
      </c>
      <c r="F39" s="853">
        <v>0</v>
      </c>
      <c r="G39" s="853">
        <v>0</v>
      </c>
      <c r="H39" s="853">
        <v>0</v>
      </c>
      <c r="I39" s="853">
        <v>54100</v>
      </c>
      <c r="J39" s="874">
        <v>0</v>
      </c>
      <c r="K39" s="988">
        <v>0</v>
      </c>
    </row>
    <row r="40" spans="1:11" s="985" customFormat="1" ht="19.5" customHeight="1">
      <c r="A40" s="965" t="s">
        <v>1354</v>
      </c>
      <c r="B40" s="180" t="s">
        <v>522</v>
      </c>
      <c r="C40" s="968">
        <f>SUM(C42,C44,C46,C48,C50,C52,C54,C56,C58,C60,C62,C64)</f>
        <v>5999613</v>
      </c>
      <c r="D40" s="968">
        <f aca="true" t="shared" si="6" ref="D40:K40">SUM(D42,D44,D46,D48,D50,D52,D54,D56,D58,D60,D62,D64)</f>
        <v>5999613</v>
      </c>
      <c r="E40" s="968">
        <f t="shared" si="6"/>
        <v>5998013</v>
      </c>
      <c r="F40" s="968">
        <f t="shared" si="6"/>
        <v>4998131</v>
      </c>
      <c r="G40" s="968">
        <f t="shared" si="6"/>
        <v>783944</v>
      </c>
      <c r="H40" s="968">
        <f t="shared" si="6"/>
        <v>35000</v>
      </c>
      <c r="I40" s="968">
        <f t="shared" si="6"/>
        <v>180938</v>
      </c>
      <c r="J40" s="968">
        <f t="shared" si="6"/>
        <v>0</v>
      </c>
      <c r="K40" s="995">
        <f t="shared" si="6"/>
        <v>1600</v>
      </c>
    </row>
    <row r="41" spans="1:11" s="174" customFormat="1" ht="19.5" customHeight="1">
      <c r="A41" s="969" t="s">
        <v>1355</v>
      </c>
      <c r="B41" s="970" t="s">
        <v>522</v>
      </c>
      <c r="C41" s="864">
        <f>SUM(C43,C45,C47,C49,C51,C53,C55,C57,C59,C61,C63,C65)</f>
        <v>3548333</v>
      </c>
      <c r="D41" s="864">
        <f aca="true" t="shared" si="7" ref="D41:K41">SUM(D43,D45,D47,D49,D51,D53,D55,D57,D59,D61,D63,D65)</f>
        <v>3176125.55</v>
      </c>
      <c r="E41" s="864">
        <f t="shared" si="7"/>
        <v>3176125.55</v>
      </c>
      <c r="F41" s="864">
        <f t="shared" si="7"/>
        <v>2508091.5999999996</v>
      </c>
      <c r="G41" s="864">
        <f t="shared" si="7"/>
        <v>532298.97</v>
      </c>
      <c r="H41" s="864">
        <f t="shared" si="7"/>
        <v>17496</v>
      </c>
      <c r="I41" s="864">
        <f t="shared" si="7"/>
        <v>118238.98</v>
      </c>
      <c r="J41" s="864">
        <f t="shared" si="7"/>
        <v>0</v>
      </c>
      <c r="K41" s="996">
        <f t="shared" si="7"/>
        <v>0</v>
      </c>
    </row>
    <row r="42" spans="1:11" s="985" customFormat="1" ht="19.5" customHeight="1">
      <c r="A42" s="976" t="s">
        <v>1354</v>
      </c>
      <c r="B42" s="979" t="s">
        <v>1423</v>
      </c>
      <c r="C42" s="978">
        <f>SUM(6DOCHODY!E453,6DOCHODY!E454)</f>
        <v>55000</v>
      </c>
      <c r="D42" s="973">
        <f aca="true" t="shared" si="8" ref="D42:D64">SUM(E42,K42)</f>
        <v>55000</v>
      </c>
      <c r="E42" s="978">
        <f>SUM(F42,G42,H42,I42,J42)</f>
        <v>53400</v>
      </c>
      <c r="F42" s="978">
        <v>0</v>
      </c>
      <c r="G42" s="978">
        <v>53400</v>
      </c>
      <c r="H42" s="978">
        <v>0</v>
      </c>
      <c r="I42" s="978">
        <v>0</v>
      </c>
      <c r="J42" s="993">
        <v>0</v>
      </c>
      <c r="K42" s="994">
        <v>1600</v>
      </c>
    </row>
    <row r="43" spans="1:11" s="174" customFormat="1" ht="19.5" customHeight="1">
      <c r="A43" s="215" t="s">
        <v>1355</v>
      </c>
      <c r="B43" s="852" t="s">
        <v>1423</v>
      </c>
      <c r="C43" s="853">
        <f>SUM(6DOCHODY!F453,6DOCHODY!F454)</f>
        <v>55000</v>
      </c>
      <c r="D43" s="868">
        <f>SUM(E43,K43)</f>
        <v>20812.69</v>
      </c>
      <c r="E43" s="886">
        <f aca="true" t="shared" si="9" ref="E43:E65">SUM(F43,G43,H43,I43,J43)</f>
        <v>20812.69</v>
      </c>
      <c r="F43" s="853">
        <v>0</v>
      </c>
      <c r="G43" s="853">
        <v>20812.69</v>
      </c>
      <c r="H43" s="853">
        <v>0</v>
      </c>
      <c r="I43" s="853">
        <v>0</v>
      </c>
      <c r="J43" s="874">
        <v>0</v>
      </c>
      <c r="K43" s="988">
        <v>0</v>
      </c>
    </row>
    <row r="44" spans="1:11" s="985" customFormat="1" ht="19.5" customHeight="1">
      <c r="A44" s="971" t="s">
        <v>1354</v>
      </c>
      <c r="B44" s="972" t="s">
        <v>1427</v>
      </c>
      <c r="C44" s="973">
        <f>SUM(6DOCHODY!E457)</f>
        <v>80000</v>
      </c>
      <c r="D44" s="973">
        <f t="shared" si="8"/>
        <v>80000</v>
      </c>
      <c r="E44" s="978">
        <f t="shared" si="9"/>
        <v>80000</v>
      </c>
      <c r="F44" s="973">
        <v>0</v>
      </c>
      <c r="G44" s="973">
        <v>80000</v>
      </c>
      <c r="H44" s="973">
        <v>0</v>
      </c>
      <c r="I44" s="973">
        <v>0</v>
      </c>
      <c r="J44" s="986">
        <v>0</v>
      </c>
      <c r="K44" s="987">
        <v>0</v>
      </c>
    </row>
    <row r="45" spans="1:11" s="174" customFormat="1" ht="19.5" customHeight="1">
      <c r="A45" s="215" t="s">
        <v>1355</v>
      </c>
      <c r="B45" s="852" t="s">
        <v>1427</v>
      </c>
      <c r="C45" s="853">
        <f>SUM(6DOCHODY!F457)</f>
        <v>75000</v>
      </c>
      <c r="D45" s="868">
        <f t="shared" si="8"/>
        <v>75000</v>
      </c>
      <c r="E45" s="886">
        <f t="shared" si="9"/>
        <v>75000</v>
      </c>
      <c r="F45" s="853">
        <v>0</v>
      </c>
      <c r="G45" s="853">
        <v>75000</v>
      </c>
      <c r="H45" s="853">
        <v>0</v>
      </c>
      <c r="I45" s="853">
        <v>0</v>
      </c>
      <c r="J45" s="874">
        <v>0</v>
      </c>
      <c r="K45" s="988">
        <v>0</v>
      </c>
    </row>
    <row r="46" spans="1:11" s="985" customFormat="1" ht="19.5" customHeight="1" hidden="1">
      <c r="A46" s="976" t="s">
        <v>1354</v>
      </c>
      <c r="B46" s="979" t="s">
        <v>1428</v>
      </c>
      <c r="C46" s="978">
        <f>SUM(6DOCHODY!E463)</f>
        <v>0</v>
      </c>
      <c r="D46" s="978">
        <f t="shared" si="8"/>
        <v>0</v>
      </c>
      <c r="E46" s="978">
        <f t="shared" si="9"/>
        <v>0</v>
      </c>
      <c r="F46" s="978">
        <v>0</v>
      </c>
      <c r="G46" s="978">
        <v>0</v>
      </c>
      <c r="H46" s="978">
        <v>0</v>
      </c>
      <c r="I46" s="978">
        <v>0</v>
      </c>
      <c r="J46" s="993">
        <v>0</v>
      </c>
      <c r="K46" s="994">
        <v>0</v>
      </c>
    </row>
    <row r="47" spans="1:11" s="174" customFormat="1" ht="19.5" customHeight="1" hidden="1">
      <c r="A47" s="215" t="s">
        <v>1355</v>
      </c>
      <c r="B47" s="852" t="s">
        <v>1428</v>
      </c>
      <c r="C47" s="853">
        <f>SUM(6DOCHODY!F463)</f>
        <v>0</v>
      </c>
      <c r="D47" s="868">
        <f t="shared" si="8"/>
        <v>0</v>
      </c>
      <c r="E47" s="886">
        <f t="shared" si="9"/>
        <v>0</v>
      </c>
      <c r="F47" s="853">
        <v>0</v>
      </c>
      <c r="G47" s="853">
        <v>0</v>
      </c>
      <c r="H47" s="853">
        <v>0</v>
      </c>
      <c r="I47" s="853">
        <v>0</v>
      </c>
      <c r="J47" s="874">
        <v>0</v>
      </c>
      <c r="K47" s="988">
        <v>0</v>
      </c>
    </row>
    <row r="48" spans="1:11" s="985" customFormat="1" ht="19.5" customHeight="1">
      <c r="A48" s="971" t="s">
        <v>1354</v>
      </c>
      <c r="B48" s="972" t="s">
        <v>1430</v>
      </c>
      <c r="C48" s="973">
        <f>SUM(6DOCHODY!E466,6DOCHODY!E467)</f>
        <v>376000</v>
      </c>
      <c r="D48" s="973">
        <f t="shared" si="8"/>
        <v>376000</v>
      </c>
      <c r="E48" s="978">
        <f t="shared" si="9"/>
        <v>376000</v>
      </c>
      <c r="F48" s="973">
        <v>347015</v>
      </c>
      <c r="G48" s="973">
        <v>28047</v>
      </c>
      <c r="H48" s="973">
        <v>0</v>
      </c>
      <c r="I48" s="973">
        <v>938</v>
      </c>
      <c r="J48" s="986">
        <v>0</v>
      </c>
      <c r="K48" s="987">
        <v>0</v>
      </c>
    </row>
    <row r="49" spans="1:11" s="174" customFormat="1" ht="19.5" customHeight="1">
      <c r="A49" s="215" t="s">
        <v>1355</v>
      </c>
      <c r="B49" s="852" t="s">
        <v>1430</v>
      </c>
      <c r="C49" s="853">
        <f>SUM(6DOCHODY!F466,6DOCHODY!F467)</f>
        <v>199998</v>
      </c>
      <c r="D49" s="868">
        <f t="shared" si="8"/>
        <v>188362.33000000002</v>
      </c>
      <c r="E49" s="886">
        <f t="shared" si="9"/>
        <v>188362.33000000002</v>
      </c>
      <c r="F49" s="853">
        <v>172988.17</v>
      </c>
      <c r="G49" s="853">
        <v>14543.12</v>
      </c>
      <c r="H49" s="853">
        <v>0</v>
      </c>
      <c r="I49" s="853">
        <v>831.04</v>
      </c>
      <c r="J49" s="874">
        <v>0</v>
      </c>
      <c r="K49" s="988">
        <v>0</v>
      </c>
    </row>
    <row r="50" spans="1:11" s="985" customFormat="1" ht="19.5" customHeight="1" hidden="1">
      <c r="A50" s="971" t="s">
        <v>1354</v>
      </c>
      <c r="B50" s="972" t="s">
        <v>357</v>
      </c>
      <c r="C50" s="973">
        <f>SUM(6DOCHODY!E469)</f>
        <v>0</v>
      </c>
      <c r="D50" s="973">
        <f>SUM(E50,K50)</f>
        <v>0</v>
      </c>
      <c r="E50" s="978">
        <f>SUM(F50,G50,H50,I50,J50)</f>
        <v>0</v>
      </c>
      <c r="F50" s="973">
        <v>0</v>
      </c>
      <c r="G50" s="973">
        <v>0</v>
      </c>
      <c r="H50" s="973">
        <v>0</v>
      </c>
      <c r="I50" s="973">
        <v>0</v>
      </c>
      <c r="J50" s="986">
        <v>0</v>
      </c>
      <c r="K50" s="987">
        <v>0</v>
      </c>
    </row>
    <row r="51" spans="1:11" s="174" customFormat="1" ht="19.5" customHeight="1" hidden="1">
      <c r="A51" s="215" t="s">
        <v>1355</v>
      </c>
      <c r="B51" s="852" t="s">
        <v>357</v>
      </c>
      <c r="C51" s="868">
        <f>SUM(6DOCHODY!F469)</f>
        <v>0</v>
      </c>
      <c r="D51" s="868">
        <f>SUM(E51,K51)</f>
        <v>0</v>
      </c>
      <c r="E51" s="886">
        <f>SUM(F51,G51,H51,I51,J51)</f>
        <v>0</v>
      </c>
      <c r="F51" s="853">
        <v>0</v>
      </c>
      <c r="G51" s="853">
        <v>0</v>
      </c>
      <c r="H51" s="853">
        <v>0</v>
      </c>
      <c r="I51" s="853">
        <v>0</v>
      </c>
      <c r="J51" s="874">
        <v>0</v>
      </c>
      <c r="K51" s="988">
        <v>0</v>
      </c>
    </row>
    <row r="52" spans="1:11" s="985" customFormat="1" ht="19.5" customHeight="1">
      <c r="A52" s="971" t="s">
        <v>1354</v>
      </c>
      <c r="B52" s="972" t="s">
        <v>1439</v>
      </c>
      <c r="C52" s="973">
        <f>SUM(6DOCHODY!E472)</f>
        <v>82500</v>
      </c>
      <c r="D52" s="973">
        <f t="shared" si="8"/>
        <v>82500</v>
      </c>
      <c r="E52" s="978">
        <f t="shared" si="9"/>
        <v>82500</v>
      </c>
      <c r="F52" s="973">
        <v>82500</v>
      </c>
      <c r="G52" s="973">
        <v>0</v>
      </c>
      <c r="H52" s="973">
        <v>0</v>
      </c>
      <c r="I52" s="973">
        <v>0</v>
      </c>
      <c r="J52" s="986">
        <v>0</v>
      </c>
      <c r="K52" s="987">
        <v>0</v>
      </c>
    </row>
    <row r="53" spans="1:11" s="174" customFormat="1" ht="19.5" customHeight="1">
      <c r="A53" s="215" t="s">
        <v>1355</v>
      </c>
      <c r="B53" s="852" t="s">
        <v>1439</v>
      </c>
      <c r="C53" s="853">
        <f>SUM(6DOCHODY!F472)</f>
        <v>44687</v>
      </c>
      <c r="D53" s="868">
        <f t="shared" si="8"/>
        <v>44687</v>
      </c>
      <c r="E53" s="886">
        <f t="shared" si="9"/>
        <v>44687</v>
      </c>
      <c r="F53" s="853">
        <v>44687</v>
      </c>
      <c r="G53" s="853">
        <v>0</v>
      </c>
      <c r="H53" s="853">
        <v>0</v>
      </c>
      <c r="I53" s="853">
        <v>0</v>
      </c>
      <c r="J53" s="874">
        <v>0</v>
      </c>
      <c r="K53" s="988">
        <v>0</v>
      </c>
    </row>
    <row r="54" spans="1:11" s="985" customFormat="1" ht="19.5" customHeight="1">
      <c r="A54" s="971" t="s">
        <v>1354</v>
      </c>
      <c r="B54" s="972" t="s">
        <v>1449</v>
      </c>
      <c r="C54" s="973">
        <f>SUM(6DOCHODY!E479)</f>
        <v>19000</v>
      </c>
      <c r="D54" s="973">
        <f t="shared" si="8"/>
        <v>19000</v>
      </c>
      <c r="E54" s="978">
        <f t="shared" si="9"/>
        <v>19000</v>
      </c>
      <c r="F54" s="973">
        <v>9937</v>
      </c>
      <c r="G54" s="973">
        <v>9063</v>
      </c>
      <c r="H54" s="973">
        <v>0</v>
      </c>
      <c r="I54" s="973">
        <v>0</v>
      </c>
      <c r="J54" s="986">
        <v>0</v>
      </c>
      <c r="K54" s="987">
        <v>0</v>
      </c>
    </row>
    <row r="55" spans="1:11" s="174" customFormat="1" ht="19.5" customHeight="1">
      <c r="A55" s="215" t="s">
        <v>1355</v>
      </c>
      <c r="B55" s="852" t="s">
        <v>1449</v>
      </c>
      <c r="C55" s="853">
        <f>SUM(6DOCHODY!F479)</f>
        <v>19000</v>
      </c>
      <c r="D55" s="868">
        <f t="shared" si="8"/>
        <v>17985.86</v>
      </c>
      <c r="E55" s="886">
        <f t="shared" si="9"/>
        <v>17985.86</v>
      </c>
      <c r="F55" s="853">
        <v>9936.6</v>
      </c>
      <c r="G55" s="853">
        <v>8049.26</v>
      </c>
      <c r="H55" s="853">
        <v>0</v>
      </c>
      <c r="I55" s="853">
        <v>0</v>
      </c>
      <c r="J55" s="874">
        <v>0</v>
      </c>
      <c r="K55" s="988">
        <v>0</v>
      </c>
    </row>
    <row r="56" spans="1:11" s="985" customFormat="1" ht="19.5" customHeight="1">
      <c r="A56" s="971" t="s">
        <v>1354</v>
      </c>
      <c r="B56" s="972" t="s">
        <v>1453</v>
      </c>
      <c r="C56" s="973">
        <f>SUM(6DOCHODY!E483,6DOCHODY!E484)</f>
        <v>4158113</v>
      </c>
      <c r="D56" s="973">
        <f t="shared" si="8"/>
        <v>4158113</v>
      </c>
      <c r="E56" s="978">
        <f t="shared" si="9"/>
        <v>4158113</v>
      </c>
      <c r="F56" s="973">
        <v>3514239</v>
      </c>
      <c r="G56" s="973">
        <v>463874</v>
      </c>
      <c r="H56" s="973">
        <v>0</v>
      </c>
      <c r="I56" s="973">
        <v>180000</v>
      </c>
      <c r="J56" s="986">
        <v>0</v>
      </c>
      <c r="K56" s="987">
        <v>0</v>
      </c>
    </row>
    <row r="57" spans="1:11" s="174" customFormat="1" ht="19.5" customHeight="1">
      <c r="A57" s="215" t="s">
        <v>1355</v>
      </c>
      <c r="B57" s="852" t="s">
        <v>1453</v>
      </c>
      <c r="C57" s="853">
        <f>SUM(6DOCHODY!F483,6DOCHODY!F484)</f>
        <v>2486552</v>
      </c>
      <c r="D57" s="868">
        <f t="shared" si="8"/>
        <v>2184815.37</v>
      </c>
      <c r="E57" s="886">
        <f t="shared" si="9"/>
        <v>2184815.37</v>
      </c>
      <c r="F57" s="853">
        <v>1719933.17</v>
      </c>
      <c r="G57" s="853">
        <v>347474.26</v>
      </c>
      <c r="H57" s="853">
        <v>0</v>
      </c>
      <c r="I57" s="853">
        <v>117407.94</v>
      </c>
      <c r="J57" s="874">
        <v>0</v>
      </c>
      <c r="K57" s="988">
        <v>0</v>
      </c>
    </row>
    <row r="58" spans="1:11" s="119" customFormat="1" ht="19.5" customHeight="1" hidden="1">
      <c r="A58" s="971" t="s">
        <v>1354</v>
      </c>
      <c r="B58" s="972" t="s">
        <v>687</v>
      </c>
      <c r="C58" s="973">
        <f>6DOCHODY!E486</f>
        <v>0</v>
      </c>
      <c r="D58" s="973">
        <f>SUM(E58,K58)</f>
        <v>0</v>
      </c>
      <c r="E58" s="124">
        <f>SUM(F58,G58,H58,I58,J58)</f>
        <v>0</v>
      </c>
      <c r="F58" s="120">
        <v>0</v>
      </c>
      <c r="G58" s="120">
        <v>0</v>
      </c>
      <c r="H58" s="120">
        <v>0</v>
      </c>
      <c r="I58" s="120">
        <v>0</v>
      </c>
      <c r="J58" s="121">
        <v>0</v>
      </c>
      <c r="K58" s="122">
        <v>0</v>
      </c>
    </row>
    <row r="59" spans="1:11" ht="19.5" customHeight="1" hidden="1">
      <c r="A59" s="215" t="s">
        <v>1355</v>
      </c>
      <c r="B59" s="852" t="s">
        <v>687</v>
      </c>
      <c r="C59" s="853">
        <f>6DOCHODY!F486</f>
        <v>0</v>
      </c>
      <c r="D59" s="868">
        <f>SUM(E59,K59)</f>
        <v>0</v>
      </c>
      <c r="E59" s="117">
        <f>SUM(F59,G59,H59,I59,J59)</f>
        <v>0</v>
      </c>
      <c r="F59" s="116">
        <v>0</v>
      </c>
      <c r="G59" s="116">
        <v>0</v>
      </c>
      <c r="H59" s="116">
        <v>0</v>
      </c>
      <c r="I59" s="116">
        <v>0</v>
      </c>
      <c r="J59" s="118">
        <v>0</v>
      </c>
      <c r="K59" s="123">
        <v>0</v>
      </c>
    </row>
    <row r="60" spans="1:11" s="985" customFormat="1" ht="19.5" customHeight="1">
      <c r="A60" s="971" t="s">
        <v>1354</v>
      </c>
      <c r="B60" s="972" t="s">
        <v>155</v>
      </c>
      <c r="C60" s="973">
        <f>SUM(6DOCHODY!E527)</f>
        <v>876000</v>
      </c>
      <c r="D60" s="973">
        <f t="shared" si="8"/>
        <v>876000</v>
      </c>
      <c r="E60" s="978">
        <f t="shared" si="9"/>
        <v>876000</v>
      </c>
      <c r="F60" s="973">
        <v>876000</v>
      </c>
      <c r="G60" s="973">
        <v>0</v>
      </c>
      <c r="H60" s="973">
        <v>0</v>
      </c>
      <c r="I60" s="973">
        <v>0</v>
      </c>
      <c r="J60" s="986">
        <v>0</v>
      </c>
      <c r="K60" s="987">
        <v>0</v>
      </c>
    </row>
    <row r="61" spans="1:11" s="174" customFormat="1" ht="19.5" customHeight="1">
      <c r="A61" s="215" t="s">
        <v>1355</v>
      </c>
      <c r="B61" s="852" t="s">
        <v>155</v>
      </c>
      <c r="C61" s="853">
        <f>SUM(6DOCHODY!F527)</f>
        <v>482600</v>
      </c>
      <c r="D61" s="868">
        <f t="shared" si="8"/>
        <v>481277.4</v>
      </c>
      <c r="E61" s="886">
        <f t="shared" si="9"/>
        <v>481277.4</v>
      </c>
      <c r="F61" s="853">
        <v>481277.4</v>
      </c>
      <c r="G61" s="853">
        <v>0</v>
      </c>
      <c r="H61" s="853">
        <v>0</v>
      </c>
      <c r="I61" s="853">
        <v>0</v>
      </c>
      <c r="J61" s="874">
        <v>0</v>
      </c>
      <c r="K61" s="988">
        <v>0</v>
      </c>
    </row>
    <row r="62" spans="1:11" s="985" customFormat="1" ht="19.5" customHeight="1">
      <c r="A62" s="976" t="s">
        <v>1354</v>
      </c>
      <c r="B62" s="979" t="s">
        <v>423</v>
      </c>
      <c r="C62" s="978">
        <f>SUM(6DOCHODY!E543)</f>
        <v>318000</v>
      </c>
      <c r="D62" s="973">
        <f t="shared" si="8"/>
        <v>318000</v>
      </c>
      <c r="E62" s="978">
        <f t="shared" si="9"/>
        <v>318000</v>
      </c>
      <c r="F62" s="978">
        <v>168440</v>
      </c>
      <c r="G62" s="978">
        <v>149560</v>
      </c>
      <c r="H62" s="978">
        <v>0</v>
      </c>
      <c r="I62" s="978">
        <v>0</v>
      </c>
      <c r="J62" s="993">
        <v>0</v>
      </c>
      <c r="K62" s="994">
        <v>0</v>
      </c>
    </row>
    <row r="63" spans="1:11" s="174" customFormat="1" ht="19.5" customHeight="1">
      <c r="A63" s="215" t="s">
        <v>1355</v>
      </c>
      <c r="B63" s="852" t="s">
        <v>423</v>
      </c>
      <c r="C63" s="853">
        <f>SUM(6DOCHODY!F543)</f>
        <v>168000</v>
      </c>
      <c r="D63" s="868">
        <f t="shared" si="8"/>
        <v>145688.9</v>
      </c>
      <c r="E63" s="886">
        <f t="shared" si="9"/>
        <v>145688.9</v>
      </c>
      <c r="F63" s="853">
        <v>79269.26</v>
      </c>
      <c r="G63" s="853">
        <v>66419.64</v>
      </c>
      <c r="H63" s="853">
        <v>0</v>
      </c>
      <c r="I63" s="853">
        <v>0</v>
      </c>
      <c r="J63" s="874">
        <v>0</v>
      </c>
      <c r="K63" s="988">
        <v>0</v>
      </c>
    </row>
    <row r="64" spans="1:11" s="985" customFormat="1" ht="19.5" customHeight="1">
      <c r="A64" s="971" t="s">
        <v>1354</v>
      </c>
      <c r="B64" s="972" t="s">
        <v>1480</v>
      </c>
      <c r="C64" s="973">
        <f>SUM(6DOCHODY!E556)</f>
        <v>35000</v>
      </c>
      <c r="D64" s="973">
        <f t="shared" si="8"/>
        <v>35000</v>
      </c>
      <c r="E64" s="978">
        <f t="shared" si="9"/>
        <v>35000</v>
      </c>
      <c r="F64" s="973">
        <v>0</v>
      </c>
      <c r="G64" s="973">
        <v>0</v>
      </c>
      <c r="H64" s="973">
        <v>35000</v>
      </c>
      <c r="I64" s="973">
        <v>0</v>
      </c>
      <c r="J64" s="986">
        <v>0</v>
      </c>
      <c r="K64" s="987">
        <v>0</v>
      </c>
    </row>
    <row r="65" spans="1:11" s="174" customFormat="1" ht="19.5" customHeight="1">
      <c r="A65" s="215" t="s">
        <v>1355</v>
      </c>
      <c r="B65" s="852" t="s">
        <v>1480</v>
      </c>
      <c r="C65" s="853">
        <f>SUM(6DOCHODY!F556)</f>
        <v>17496</v>
      </c>
      <c r="D65" s="868">
        <f>SUM(E65,K65)</f>
        <v>17496</v>
      </c>
      <c r="E65" s="886">
        <f t="shared" si="9"/>
        <v>17496</v>
      </c>
      <c r="F65" s="853">
        <v>0</v>
      </c>
      <c r="G65" s="853">
        <v>0</v>
      </c>
      <c r="H65" s="853">
        <v>17496</v>
      </c>
      <c r="I65" s="853">
        <v>0</v>
      </c>
      <c r="J65" s="874">
        <v>0</v>
      </c>
      <c r="K65" s="988">
        <v>0</v>
      </c>
    </row>
    <row r="66" spans="1:11" s="985" customFormat="1" ht="19.5" customHeight="1" hidden="1">
      <c r="A66" s="976" t="s">
        <v>1354</v>
      </c>
      <c r="B66" s="979" t="s">
        <v>534</v>
      </c>
      <c r="C66" s="978">
        <f>SUM(6DOCHODY!E562)</f>
        <v>0</v>
      </c>
      <c r="D66" s="978">
        <f>SUM(E66,K66)</f>
        <v>0</v>
      </c>
      <c r="E66" s="978"/>
      <c r="F66" s="978">
        <v>0</v>
      </c>
      <c r="G66" s="978">
        <v>0</v>
      </c>
      <c r="H66" s="978"/>
      <c r="I66" s="978">
        <v>0</v>
      </c>
      <c r="J66" s="993"/>
      <c r="K66" s="994">
        <v>0</v>
      </c>
    </row>
    <row r="67" spans="1:11" s="174" customFormat="1" ht="19.5" customHeight="1" hidden="1" thickBot="1">
      <c r="A67" s="890" t="s">
        <v>1355</v>
      </c>
      <c r="B67" s="980" t="s">
        <v>534</v>
      </c>
      <c r="C67" s="893">
        <f>SUM(6DOCHODY!F562)</f>
        <v>0</v>
      </c>
      <c r="D67" s="912">
        <f>SUM(E67,K67)</f>
        <v>0</v>
      </c>
      <c r="E67" s="893"/>
      <c r="F67" s="893">
        <v>0</v>
      </c>
      <c r="G67" s="893">
        <v>0</v>
      </c>
      <c r="H67" s="893"/>
      <c r="I67" s="893">
        <v>0</v>
      </c>
      <c r="J67" s="997"/>
      <c r="K67" s="998">
        <v>0</v>
      </c>
    </row>
    <row r="68" spans="1:11" s="1000" customFormat="1" ht="19.5" customHeight="1">
      <c r="A68" s="850" t="s">
        <v>519</v>
      </c>
      <c r="B68" s="851" t="s">
        <v>518</v>
      </c>
      <c r="C68" s="981">
        <f aca="true" t="shared" si="10" ref="C68:K68">SUM(C10,C40)</f>
        <v>12460323.11</v>
      </c>
      <c r="D68" s="981">
        <f t="shared" si="10"/>
        <v>12460323.11</v>
      </c>
      <c r="E68" s="981">
        <f t="shared" si="10"/>
        <v>12458723.11</v>
      </c>
      <c r="F68" s="981">
        <f t="shared" si="10"/>
        <v>5769864</v>
      </c>
      <c r="G68" s="981">
        <f t="shared" si="10"/>
        <v>832376.11</v>
      </c>
      <c r="H68" s="981">
        <f t="shared" si="10"/>
        <v>252000</v>
      </c>
      <c r="I68" s="981">
        <f t="shared" si="10"/>
        <v>5604483</v>
      </c>
      <c r="J68" s="981">
        <f t="shared" si="10"/>
        <v>0</v>
      </c>
      <c r="K68" s="999">
        <f t="shared" si="10"/>
        <v>1600</v>
      </c>
    </row>
    <row r="69" spans="1:11" s="175" customFormat="1" ht="19.5" customHeight="1" thickBot="1">
      <c r="A69" s="982" t="s">
        <v>520</v>
      </c>
      <c r="B69" s="983" t="s">
        <v>518</v>
      </c>
      <c r="C69" s="984">
        <f aca="true" t="shared" si="11" ref="C69:K69">SUM(C11,C41)</f>
        <v>6894222.109999999</v>
      </c>
      <c r="D69" s="984">
        <f t="shared" si="11"/>
        <v>6466700.329999999</v>
      </c>
      <c r="E69" s="984">
        <f t="shared" si="11"/>
        <v>6466700.329999999</v>
      </c>
      <c r="F69" s="984">
        <f t="shared" si="11"/>
        <v>2914272.7399999998</v>
      </c>
      <c r="G69" s="984">
        <f t="shared" si="11"/>
        <v>569575.61</v>
      </c>
      <c r="H69" s="984">
        <f t="shared" si="11"/>
        <v>108696</v>
      </c>
      <c r="I69" s="984">
        <f t="shared" si="11"/>
        <v>2874155.98</v>
      </c>
      <c r="J69" s="984">
        <f t="shared" si="11"/>
        <v>0</v>
      </c>
      <c r="K69" s="1001">
        <f t="shared" si="11"/>
        <v>0</v>
      </c>
    </row>
    <row r="71" spans="1:11" s="1004" customFormat="1" ht="23.25" customHeight="1" hidden="1">
      <c r="A71" s="1002" t="s">
        <v>1244</v>
      </c>
      <c r="B71" s="1002" t="s">
        <v>812</v>
      </c>
      <c r="C71" s="1003">
        <v>6894222.11</v>
      </c>
      <c r="D71" s="1005" t="s">
        <v>813</v>
      </c>
      <c r="E71" s="1005" t="s">
        <v>813</v>
      </c>
      <c r="F71" s="1005" t="s">
        <v>813</v>
      </c>
      <c r="G71" s="1005" t="s">
        <v>813</v>
      </c>
      <c r="H71" s="1005" t="s">
        <v>813</v>
      </c>
      <c r="I71" s="1005" t="s">
        <v>813</v>
      </c>
      <c r="J71" s="1005" t="s">
        <v>813</v>
      </c>
      <c r="K71" s="1005" t="s">
        <v>813</v>
      </c>
    </row>
    <row r="72" spans="1:11" s="175" customFormat="1" ht="12.75" hidden="1">
      <c r="A72" s="173"/>
      <c r="B72" s="173" t="s">
        <v>1323</v>
      </c>
      <c r="C72" s="225">
        <f>C69-C71</f>
        <v>0</v>
      </c>
      <c r="D72" s="225" t="e">
        <f aca="true" t="shared" si="12" ref="D72:K72">D69-D71</f>
        <v>#VALUE!</v>
      </c>
      <c r="E72" s="225" t="e">
        <f t="shared" si="12"/>
        <v>#VALUE!</v>
      </c>
      <c r="F72" s="225" t="e">
        <f t="shared" si="12"/>
        <v>#VALUE!</v>
      </c>
      <c r="G72" s="225" t="e">
        <f t="shared" si="12"/>
        <v>#VALUE!</v>
      </c>
      <c r="H72" s="225" t="e">
        <f t="shared" si="12"/>
        <v>#VALUE!</v>
      </c>
      <c r="I72" s="225" t="e">
        <f t="shared" si="12"/>
        <v>#VALUE!</v>
      </c>
      <c r="J72" s="225" t="e">
        <f t="shared" si="12"/>
        <v>#VALUE!</v>
      </c>
      <c r="K72" s="225" t="e">
        <f t="shared" si="12"/>
        <v>#VALUE!</v>
      </c>
    </row>
    <row r="73" spans="1:2" s="174" customFormat="1" ht="12.75" hidden="1">
      <c r="A73" s="191"/>
      <c r="B73" s="191"/>
    </row>
    <row r="74" spans="1:11" s="174" customFormat="1" ht="12.75" hidden="1">
      <c r="A74" s="1682" t="s">
        <v>362</v>
      </c>
      <c r="B74" s="1682"/>
      <c r="C74" s="206">
        <v>12460323.11</v>
      </c>
      <c r="D74" s="206">
        <v>12460323.11</v>
      </c>
      <c r="E74" s="206">
        <v>12458723.11</v>
      </c>
      <c r="F74" s="206">
        <v>5769864</v>
      </c>
      <c r="G74" s="206">
        <v>832376.11</v>
      </c>
      <c r="H74" s="206">
        <v>252000</v>
      </c>
      <c r="I74" s="206">
        <v>5604483</v>
      </c>
      <c r="J74" s="206">
        <v>0</v>
      </c>
      <c r="K74" s="206">
        <v>1600</v>
      </c>
    </row>
    <row r="75" spans="1:11" s="174" customFormat="1" ht="12.75" hidden="1">
      <c r="A75" s="1682" t="s">
        <v>363</v>
      </c>
      <c r="B75" s="1682"/>
      <c r="C75" s="206">
        <v>6894222.11</v>
      </c>
      <c r="D75" s="206">
        <v>6466700.33</v>
      </c>
      <c r="E75" s="206">
        <v>6466700.33</v>
      </c>
      <c r="F75" s="206">
        <v>2914272.74</v>
      </c>
      <c r="G75" s="206">
        <v>569575.61</v>
      </c>
      <c r="H75" s="206">
        <v>108696</v>
      </c>
      <c r="I75" s="206">
        <v>2874155.98</v>
      </c>
      <c r="J75" s="206">
        <v>0</v>
      </c>
      <c r="K75" s="206">
        <v>0</v>
      </c>
    </row>
    <row r="76" spans="1:2" s="174" customFormat="1" ht="12.75" hidden="1">
      <c r="A76" s="191"/>
      <c r="B76" s="191"/>
    </row>
    <row r="77" spans="1:11" s="174" customFormat="1" ht="12.75" hidden="1">
      <c r="A77" s="191"/>
      <c r="B77" s="191" t="s">
        <v>36</v>
      </c>
      <c r="C77" s="206">
        <f>C68-C74</f>
        <v>0</v>
      </c>
      <c r="D77" s="206">
        <f aca="true" t="shared" si="13" ref="D77:K77">D68-D74</f>
        <v>0</v>
      </c>
      <c r="E77" s="206">
        <f t="shared" si="13"/>
        <v>0</v>
      </c>
      <c r="F77" s="206">
        <f t="shared" si="13"/>
        <v>0</v>
      </c>
      <c r="G77" s="206">
        <f t="shared" si="13"/>
        <v>0</v>
      </c>
      <c r="H77" s="206">
        <f t="shared" si="13"/>
        <v>0</v>
      </c>
      <c r="I77" s="206">
        <f t="shared" si="13"/>
        <v>0</v>
      </c>
      <c r="J77" s="206">
        <f t="shared" si="13"/>
        <v>0</v>
      </c>
      <c r="K77" s="206">
        <f t="shared" si="13"/>
        <v>0</v>
      </c>
    </row>
    <row r="78" spans="1:11" s="174" customFormat="1" ht="12.75" hidden="1">
      <c r="A78" s="191"/>
      <c r="B78" s="191" t="s">
        <v>36</v>
      </c>
      <c r="C78" s="206">
        <f>C69-C75</f>
        <v>0</v>
      </c>
      <c r="D78" s="206">
        <f aca="true" t="shared" si="14" ref="D78:K78">D69-D75</f>
        <v>0</v>
      </c>
      <c r="E78" s="206">
        <f t="shared" si="14"/>
        <v>0</v>
      </c>
      <c r="F78" s="206">
        <f t="shared" si="14"/>
        <v>0</v>
      </c>
      <c r="G78" s="206">
        <f t="shared" si="14"/>
        <v>0</v>
      </c>
      <c r="H78" s="206">
        <f t="shared" si="14"/>
        <v>0</v>
      </c>
      <c r="I78" s="206">
        <f t="shared" si="14"/>
        <v>0</v>
      </c>
      <c r="J78" s="206">
        <f t="shared" si="14"/>
        <v>0</v>
      </c>
      <c r="K78" s="206">
        <f t="shared" si="14"/>
        <v>0</v>
      </c>
    </row>
    <row r="79" spans="1:3" ht="12.75">
      <c r="A79" s="191"/>
      <c r="B79" s="191"/>
      <c r="C79" s="174"/>
    </row>
  </sheetData>
  <sheetProtection password="CF53" sheet="1" formatRows="0" insertColumns="0" insertRows="0" insertHyperlinks="0" deleteColumns="0" deleteRows="0" sort="0" autoFilter="0" pivotTables="0"/>
  <mergeCells count="16">
    <mergeCell ref="L6:L7"/>
    <mergeCell ref="A74:B74"/>
    <mergeCell ref="A75:B75"/>
    <mergeCell ref="A3:K3"/>
    <mergeCell ref="A5:A8"/>
    <mergeCell ref="C5:C8"/>
    <mergeCell ref="D5:D8"/>
    <mergeCell ref="B5:B8"/>
    <mergeCell ref="E5:K5"/>
    <mergeCell ref="E6:E8"/>
    <mergeCell ref="F6:J6"/>
    <mergeCell ref="F7:G7"/>
    <mergeCell ref="K6:K8"/>
    <mergeCell ref="H7:H8"/>
    <mergeCell ref="I7:I8"/>
    <mergeCell ref="J7:J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34"/>
  <sheetViews>
    <sheetView defaultGridColor="0" view="pageBreakPreview" zoomScaleSheetLayoutView="100" zoomScalePageLayoutView="0" colorId="8" workbookViewId="0" topLeftCell="A1">
      <pane ySplit="9" topLeftCell="A10" activePane="bottomLeft" state="frozen"/>
      <selection pane="topLeft" activeCell="I244" sqref="I244"/>
      <selection pane="bottomLeft" activeCell="A31" sqref="A31:IV32"/>
    </sheetView>
  </sheetViews>
  <sheetFormatPr defaultColWidth="9.00390625" defaultRowHeight="12.75"/>
  <cols>
    <col min="1" max="1" width="12.25390625" style="191" customWidth="1"/>
    <col min="2" max="2" width="9.625" style="191" customWidth="1"/>
    <col min="3" max="4" width="12.125" style="174" customWidth="1"/>
    <col min="5" max="5" width="13.625" style="174" customWidth="1"/>
    <col min="6" max="6" width="13.75390625" style="174" customWidth="1"/>
    <col min="7" max="7" width="12.125" style="174" customWidth="1"/>
    <col min="8" max="8" width="11.125" style="174" customWidth="1"/>
    <col min="9" max="9" width="11.00390625" style="174" customWidth="1"/>
    <col min="10" max="10" width="12.25390625" style="174" customWidth="1"/>
    <col min="11" max="11" width="11.625" style="174" customWidth="1"/>
    <col min="12" max="16384" width="9.125" style="174" customWidth="1"/>
  </cols>
  <sheetData>
    <row r="1" spans="1:12" ht="12.75">
      <c r="A1" s="964"/>
      <c r="B1" s="964"/>
      <c r="C1" s="869"/>
      <c r="D1" s="869"/>
      <c r="E1" s="869"/>
      <c r="F1" s="869"/>
      <c r="G1" s="869"/>
      <c r="H1" s="869"/>
      <c r="I1" s="869"/>
      <c r="J1" s="869"/>
      <c r="K1" s="880" t="s">
        <v>1191</v>
      </c>
      <c r="L1" s="563"/>
    </row>
    <row r="2" spans="1:11" ht="11.25" customHeight="1">
      <c r="A2" s="964"/>
      <c r="B2" s="964"/>
      <c r="C2" s="869"/>
      <c r="D2" s="869"/>
      <c r="E2" s="869"/>
      <c r="F2" s="869"/>
      <c r="G2" s="869"/>
      <c r="H2" s="869"/>
      <c r="I2" s="869"/>
      <c r="J2" s="869"/>
      <c r="K2" s="869"/>
    </row>
    <row r="3" spans="1:11" ht="25.5" customHeight="1">
      <c r="A3" s="1620" t="s">
        <v>167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</row>
    <row r="4" spans="1:11" ht="12" customHeight="1" thickBot="1">
      <c r="A4" s="964"/>
      <c r="B4" s="964"/>
      <c r="C4" s="869"/>
      <c r="D4" s="869"/>
      <c r="E4" s="869"/>
      <c r="F4" s="869"/>
      <c r="G4" s="869"/>
      <c r="H4" s="869"/>
      <c r="I4" s="869"/>
      <c r="J4" s="869"/>
      <c r="K4" s="178" t="s">
        <v>1351</v>
      </c>
    </row>
    <row r="5" spans="1:11" s="191" customFormat="1" ht="12.75" customHeight="1">
      <c r="A5" s="1683" t="s">
        <v>1353</v>
      </c>
      <c r="B5" s="1665" t="s">
        <v>1352</v>
      </c>
      <c r="C5" s="1664" t="s">
        <v>1119</v>
      </c>
      <c r="D5" s="1664" t="s">
        <v>34</v>
      </c>
      <c r="E5" s="1664" t="s">
        <v>184</v>
      </c>
      <c r="F5" s="1664"/>
      <c r="G5" s="1664"/>
      <c r="H5" s="1664"/>
      <c r="I5" s="1664"/>
      <c r="J5" s="1686"/>
      <c r="K5" s="1687"/>
    </row>
    <row r="6" spans="1:11" s="191" customFormat="1" ht="11.25" customHeight="1">
      <c r="A6" s="1589"/>
      <c r="B6" s="1591"/>
      <c r="C6" s="1593"/>
      <c r="D6" s="1593"/>
      <c r="E6" s="1680" t="s">
        <v>1053</v>
      </c>
      <c r="F6" s="1671" t="s">
        <v>378</v>
      </c>
      <c r="G6" s="1672"/>
      <c r="H6" s="1672"/>
      <c r="I6" s="1672"/>
      <c r="J6" s="1673"/>
      <c r="K6" s="1675" t="s">
        <v>1120</v>
      </c>
    </row>
    <row r="7" spans="1:11" s="191" customFormat="1" ht="18" customHeight="1">
      <c r="A7" s="1684"/>
      <c r="B7" s="1685"/>
      <c r="C7" s="1685"/>
      <c r="D7" s="1674"/>
      <c r="E7" s="1688"/>
      <c r="F7" s="1674" t="s">
        <v>33</v>
      </c>
      <c r="G7" s="1674"/>
      <c r="H7" s="1674" t="s">
        <v>30</v>
      </c>
      <c r="I7" s="1678" t="s">
        <v>31</v>
      </c>
      <c r="J7" s="1680" t="s">
        <v>32</v>
      </c>
      <c r="K7" s="1676"/>
    </row>
    <row r="8" spans="1:11" s="191" customFormat="1" ht="63" customHeight="1">
      <c r="A8" s="1684"/>
      <c r="B8" s="1685"/>
      <c r="C8" s="1685"/>
      <c r="D8" s="1674"/>
      <c r="E8" s="1593"/>
      <c r="F8" s="1417" t="s">
        <v>888</v>
      </c>
      <c r="G8" s="1417" t="s">
        <v>29</v>
      </c>
      <c r="H8" s="1674"/>
      <c r="I8" s="1679"/>
      <c r="J8" s="1593"/>
      <c r="K8" s="1677"/>
    </row>
    <row r="9" spans="1:11" ht="8.25" customHeight="1">
      <c r="A9" s="215">
        <v>1</v>
      </c>
      <c r="B9" s="208">
        <v>2</v>
      </c>
      <c r="C9" s="208">
        <v>3</v>
      </c>
      <c r="D9" s="208">
        <v>4</v>
      </c>
      <c r="E9" s="208">
        <v>5</v>
      </c>
      <c r="F9" s="208">
        <v>6</v>
      </c>
      <c r="G9" s="208">
        <v>7</v>
      </c>
      <c r="H9" s="208">
        <v>8</v>
      </c>
      <c r="I9" s="208">
        <v>9</v>
      </c>
      <c r="J9" s="208">
        <v>10</v>
      </c>
      <c r="K9" s="967">
        <v>11</v>
      </c>
    </row>
    <row r="10" spans="1:11" s="985" customFormat="1" ht="18.75" customHeight="1">
      <c r="A10" s="965" t="s">
        <v>1354</v>
      </c>
      <c r="B10" s="180" t="s">
        <v>521</v>
      </c>
      <c r="C10" s="968">
        <f>SUM(C12,C14,C16,C18,C20)</f>
        <v>7500</v>
      </c>
      <c r="D10" s="968">
        <f aca="true" t="shared" si="0" ref="D10:K10">SUM(D12,D14,D16,D18,D20)</f>
        <v>7500</v>
      </c>
      <c r="E10" s="968">
        <f t="shared" si="0"/>
        <v>7500</v>
      </c>
      <c r="F10" s="968">
        <f t="shared" si="0"/>
        <v>0</v>
      </c>
      <c r="G10" s="968">
        <f t="shared" si="0"/>
        <v>7500</v>
      </c>
      <c r="H10" s="968">
        <f t="shared" si="0"/>
        <v>0</v>
      </c>
      <c r="I10" s="968">
        <f t="shared" si="0"/>
        <v>0</v>
      </c>
      <c r="J10" s="968">
        <f t="shared" si="0"/>
        <v>0</v>
      </c>
      <c r="K10" s="995">
        <f t="shared" si="0"/>
        <v>0</v>
      </c>
    </row>
    <row r="11" spans="1:11" ht="18.75" customHeight="1">
      <c r="A11" s="969" t="s">
        <v>1355</v>
      </c>
      <c r="B11" s="970" t="s">
        <v>521</v>
      </c>
      <c r="C11" s="864">
        <f>SUM(C13,C15,C17,C19,C21)</f>
        <v>7500</v>
      </c>
      <c r="D11" s="864">
        <f aca="true" t="shared" si="1" ref="D11:K11">SUM(D13,D15,D17,D19,D21)</f>
        <v>0</v>
      </c>
      <c r="E11" s="864">
        <f t="shared" si="1"/>
        <v>0</v>
      </c>
      <c r="F11" s="864">
        <f t="shared" si="1"/>
        <v>0</v>
      </c>
      <c r="G11" s="864">
        <f t="shared" si="1"/>
        <v>0</v>
      </c>
      <c r="H11" s="864">
        <f t="shared" si="1"/>
        <v>0</v>
      </c>
      <c r="I11" s="864">
        <f t="shared" si="1"/>
        <v>0</v>
      </c>
      <c r="J11" s="864">
        <f t="shared" si="1"/>
        <v>0</v>
      </c>
      <c r="K11" s="996">
        <f t="shared" si="1"/>
        <v>0</v>
      </c>
    </row>
    <row r="12" spans="1:11" s="985" customFormat="1" ht="18.75" customHeight="1" hidden="1">
      <c r="A12" s="971" t="s">
        <v>1354</v>
      </c>
      <c r="B12" s="974">
        <v>70005</v>
      </c>
      <c r="C12" s="1006">
        <f>SUM(6DOCHODY!E85)</f>
        <v>0</v>
      </c>
      <c r="D12" s="973">
        <f aca="true" t="shared" si="2" ref="D12:D19">SUM(E12,K12)</f>
        <v>0</v>
      </c>
      <c r="E12" s="973">
        <f aca="true" t="shared" si="3" ref="E12:E19">SUM(F12,G12,H12,I12,J12)</f>
        <v>0</v>
      </c>
      <c r="F12" s="973">
        <v>0</v>
      </c>
      <c r="G12" s="973">
        <v>0</v>
      </c>
      <c r="H12" s="973">
        <v>0</v>
      </c>
      <c r="I12" s="973">
        <v>0</v>
      </c>
      <c r="J12" s="986">
        <v>0</v>
      </c>
      <c r="K12" s="987">
        <v>0</v>
      </c>
    </row>
    <row r="13" spans="1:11" ht="18.75" customHeight="1" hidden="1">
      <c r="A13" s="215" t="s">
        <v>1355</v>
      </c>
      <c r="B13" s="208">
        <v>70005</v>
      </c>
      <c r="C13" s="209">
        <f>SUM(6DOCHODY!F85)</f>
        <v>0</v>
      </c>
      <c r="D13" s="868">
        <f t="shared" si="2"/>
        <v>0</v>
      </c>
      <c r="E13" s="868">
        <f t="shared" si="3"/>
        <v>0</v>
      </c>
      <c r="F13" s="853">
        <v>0</v>
      </c>
      <c r="G13" s="853">
        <v>0</v>
      </c>
      <c r="H13" s="853">
        <v>0</v>
      </c>
      <c r="I13" s="853">
        <v>0</v>
      </c>
      <c r="J13" s="874">
        <v>0</v>
      </c>
      <c r="K13" s="988">
        <v>0</v>
      </c>
    </row>
    <row r="14" spans="1:11" s="985" customFormat="1" ht="18.75" customHeight="1" hidden="1">
      <c r="A14" s="971" t="s">
        <v>1354</v>
      </c>
      <c r="B14" s="974">
        <v>70095</v>
      </c>
      <c r="C14" s="1006">
        <f>6DOCHODY!E89</f>
        <v>0</v>
      </c>
      <c r="D14" s="973">
        <f>SUM(E14,K14)</f>
        <v>0</v>
      </c>
      <c r="E14" s="973">
        <f>SUM(F14,G14,H14,I14,J14)</f>
        <v>0</v>
      </c>
      <c r="F14" s="973">
        <v>0</v>
      </c>
      <c r="G14" s="973">
        <v>0</v>
      </c>
      <c r="H14" s="973">
        <v>0</v>
      </c>
      <c r="I14" s="973">
        <v>0</v>
      </c>
      <c r="J14" s="986">
        <v>0</v>
      </c>
      <c r="K14" s="987">
        <v>0</v>
      </c>
    </row>
    <row r="15" spans="1:11" ht="18.75" customHeight="1" hidden="1">
      <c r="A15" s="215" t="s">
        <v>1355</v>
      </c>
      <c r="B15" s="208">
        <v>70095</v>
      </c>
      <c r="C15" s="209">
        <f>6DOCHODY!F89</f>
        <v>0</v>
      </c>
      <c r="D15" s="868">
        <f>SUM(E15,K15)</f>
        <v>0</v>
      </c>
      <c r="E15" s="868">
        <f>SUM(F15,G15,H15,I15,J15)</f>
        <v>0</v>
      </c>
      <c r="F15" s="853">
        <v>0</v>
      </c>
      <c r="G15" s="853">
        <v>0</v>
      </c>
      <c r="H15" s="853">
        <v>0</v>
      </c>
      <c r="I15" s="853">
        <v>0</v>
      </c>
      <c r="J15" s="874">
        <v>0</v>
      </c>
      <c r="K15" s="988">
        <v>0</v>
      </c>
    </row>
    <row r="16" spans="1:11" s="985" customFormat="1" ht="18.75" customHeight="1" hidden="1">
      <c r="A16" s="971" t="s">
        <v>1354</v>
      </c>
      <c r="B16" s="974">
        <v>80195</v>
      </c>
      <c r="C16" s="1006">
        <f>6DOCHODY!E245</f>
        <v>0</v>
      </c>
      <c r="D16" s="973">
        <f t="shared" si="2"/>
        <v>0</v>
      </c>
      <c r="E16" s="973">
        <f t="shared" si="3"/>
        <v>0</v>
      </c>
      <c r="F16" s="973">
        <v>0</v>
      </c>
      <c r="G16" s="973">
        <v>0</v>
      </c>
      <c r="H16" s="973">
        <v>0</v>
      </c>
      <c r="I16" s="973">
        <v>0</v>
      </c>
      <c r="J16" s="986">
        <v>0</v>
      </c>
      <c r="K16" s="987">
        <v>0</v>
      </c>
    </row>
    <row r="17" spans="1:11" ht="18.75" customHeight="1" hidden="1">
      <c r="A17" s="215" t="s">
        <v>1355</v>
      </c>
      <c r="B17" s="208">
        <v>80195</v>
      </c>
      <c r="C17" s="209">
        <f>6DOCHODY!F245</f>
        <v>0</v>
      </c>
      <c r="D17" s="868">
        <f t="shared" si="2"/>
        <v>0</v>
      </c>
      <c r="E17" s="868">
        <f t="shared" si="3"/>
        <v>0</v>
      </c>
      <c r="F17" s="853">
        <v>0</v>
      </c>
      <c r="G17" s="853">
        <v>0</v>
      </c>
      <c r="H17" s="853">
        <v>0</v>
      </c>
      <c r="I17" s="853">
        <v>0</v>
      </c>
      <c r="J17" s="874">
        <v>0</v>
      </c>
      <c r="K17" s="988">
        <v>0</v>
      </c>
    </row>
    <row r="18" spans="1:11" s="985" customFormat="1" ht="18.75" customHeight="1" hidden="1">
      <c r="A18" s="971" t="s">
        <v>1354</v>
      </c>
      <c r="B18" s="974">
        <v>85295</v>
      </c>
      <c r="C18" s="973">
        <f>SUM(6DOCHODY!E322)</f>
        <v>0</v>
      </c>
      <c r="D18" s="973">
        <f t="shared" si="2"/>
        <v>0</v>
      </c>
      <c r="E18" s="973">
        <f t="shared" si="3"/>
        <v>0</v>
      </c>
      <c r="F18" s="973">
        <v>0</v>
      </c>
      <c r="G18" s="973">
        <v>0</v>
      </c>
      <c r="H18" s="973">
        <v>0</v>
      </c>
      <c r="I18" s="973">
        <v>0</v>
      </c>
      <c r="J18" s="986">
        <v>0</v>
      </c>
      <c r="K18" s="987">
        <v>0</v>
      </c>
    </row>
    <row r="19" spans="1:11" s="992" customFormat="1" ht="18.75" customHeight="1" hidden="1">
      <c r="A19" s="215" t="s">
        <v>1355</v>
      </c>
      <c r="B19" s="913">
        <v>85295</v>
      </c>
      <c r="C19" s="868">
        <f>SUM(6DOCHODY!F322)</f>
        <v>0</v>
      </c>
      <c r="D19" s="868">
        <f t="shared" si="2"/>
        <v>0</v>
      </c>
      <c r="E19" s="868">
        <f t="shared" si="3"/>
        <v>0</v>
      </c>
      <c r="F19" s="989">
        <v>0</v>
      </c>
      <c r="G19" s="989">
        <v>0</v>
      </c>
      <c r="H19" s="989">
        <v>0</v>
      </c>
      <c r="I19" s="989">
        <v>0</v>
      </c>
      <c r="J19" s="990">
        <v>0</v>
      </c>
      <c r="K19" s="991">
        <v>0</v>
      </c>
    </row>
    <row r="20" spans="1:11" s="985" customFormat="1" ht="18.75" customHeight="1">
      <c r="A20" s="971" t="s">
        <v>1354</v>
      </c>
      <c r="B20" s="974">
        <v>85415</v>
      </c>
      <c r="C20" s="973">
        <f>6DOCHODY!E349</f>
        <v>7500</v>
      </c>
      <c r="D20" s="973">
        <f>SUM(E20,K20)</f>
        <v>7500</v>
      </c>
      <c r="E20" s="973">
        <f>SUM(F20,G20,H20,I20,J20)</f>
        <v>7500</v>
      </c>
      <c r="F20" s="973">
        <v>0</v>
      </c>
      <c r="G20" s="973">
        <v>7500</v>
      </c>
      <c r="H20" s="973">
        <v>0</v>
      </c>
      <c r="I20" s="973">
        <v>0</v>
      </c>
      <c r="J20" s="986">
        <v>0</v>
      </c>
      <c r="K20" s="987">
        <v>0</v>
      </c>
    </row>
    <row r="21" spans="1:11" s="992" customFormat="1" ht="18.75" customHeight="1">
      <c r="A21" s="215" t="s">
        <v>1355</v>
      </c>
      <c r="B21" s="913">
        <v>85415</v>
      </c>
      <c r="C21" s="868">
        <f>6DOCHODY!F349</f>
        <v>7500</v>
      </c>
      <c r="D21" s="868">
        <f>SUM(E21,K21)</f>
        <v>0</v>
      </c>
      <c r="E21" s="868">
        <f>SUM(F21,G21,H21,I21,J21)</f>
        <v>0</v>
      </c>
      <c r="F21" s="989">
        <v>0</v>
      </c>
      <c r="G21" s="989">
        <v>0</v>
      </c>
      <c r="H21" s="989">
        <v>0</v>
      </c>
      <c r="I21" s="989">
        <v>0</v>
      </c>
      <c r="J21" s="990">
        <v>0</v>
      </c>
      <c r="K21" s="991">
        <v>0</v>
      </c>
    </row>
    <row r="22" spans="1:11" s="985" customFormat="1" ht="18.75" customHeight="1">
      <c r="A22" s="965" t="s">
        <v>1354</v>
      </c>
      <c r="B22" s="180" t="s">
        <v>522</v>
      </c>
      <c r="C22" s="968">
        <f>SUM(C24,C26)</f>
        <v>2000</v>
      </c>
      <c r="D22" s="968">
        <f aca="true" t="shared" si="4" ref="D22:K22">SUM(D24,D26)</f>
        <v>2000</v>
      </c>
      <c r="E22" s="968">
        <f t="shared" si="4"/>
        <v>2000</v>
      </c>
      <c r="F22" s="968">
        <f t="shared" si="4"/>
        <v>0</v>
      </c>
      <c r="G22" s="968">
        <f t="shared" si="4"/>
        <v>2000</v>
      </c>
      <c r="H22" s="968">
        <f t="shared" si="4"/>
        <v>0</v>
      </c>
      <c r="I22" s="968">
        <f t="shared" si="4"/>
        <v>0</v>
      </c>
      <c r="J22" s="968">
        <f t="shared" si="4"/>
        <v>0</v>
      </c>
      <c r="K22" s="995">
        <f t="shared" si="4"/>
        <v>0</v>
      </c>
    </row>
    <row r="23" spans="1:11" ht="18.75" customHeight="1">
      <c r="A23" s="969" t="s">
        <v>1355</v>
      </c>
      <c r="B23" s="970" t="s">
        <v>522</v>
      </c>
      <c r="C23" s="864">
        <f>SUM(C25,C27)</f>
        <v>2000</v>
      </c>
      <c r="D23" s="864">
        <f aca="true" t="shared" si="5" ref="D23:K23">SUM(D25,D27)</f>
        <v>340</v>
      </c>
      <c r="E23" s="864">
        <f t="shared" si="5"/>
        <v>340</v>
      </c>
      <c r="F23" s="864">
        <f t="shared" si="5"/>
        <v>0</v>
      </c>
      <c r="G23" s="864">
        <f t="shared" si="5"/>
        <v>340</v>
      </c>
      <c r="H23" s="864">
        <f t="shared" si="5"/>
        <v>0</v>
      </c>
      <c r="I23" s="864">
        <f t="shared" si="5"/>
        <v>0</v>
      </c>
      <c r="J23" s="864">
        <f t="shared" si="5"/>
        <v>0</v>
      </c>
      <c r="K23" s="996">
        <f t="shared" si="5"/>
        <v>0</v>
      </c>
    </row>
    <row r="24" spans="1:11" s="985" customFormat="1" ht="18.75" customHeight="1">
      <c r="A24" s="971" t="s">
        <v>1354</v>
      </c>
      <c r="B24" s="974">
        <v>75045</v>
      </c>
      <c r="C24" s="973">
        <f>SUM(6DOCHODY!E480)</f>
        <v>2000</v>
      </c>
      <c r="D24" s="978">
        <f>SUM(E24,K24)</f>
        <v>2000</v>
      </c>
      <c r="E24" s="973">
        <f>SUM(F24,G24,H24,I24,J24)</f>
        <v>2000</v>
      </c>
      <c r="F24" s="978">
        <v>0</v>
      </c>
      <c r="G24" s="978">
        <v>2000</v>
      </c>
      <c r="H24" s="978">
        <v>0</v>
      </c>
      <c r="I24" s="978">
        <v>0</v>
      </c>
      <c r="J24" s="993">
        <v>0</v>
      </c>
      <c r="K24" s="994">
        <v>0</v>
      </c>
    </row>
    <row r="25" spans="1:11" ht="18.75" customHeight="1">
      <c r="A25" s="215" t="s">
        <v>1355</v>
      </c>
      <c r="B25" s="208">
        <v>75045</v>
      </c>
      <c r="C25" s="989">
        <f>SUM(6DOCHODY!F480)</f>
        <v>2000</v>
      </c>
      <c r="D25" s="853">
        <f>SUM(E25,K25)</f>
        <v>340</v>
      </c>
      <c r="E25" s="868">
        <f>SUM(F25,G25,H25,I25,J25)</f>
        <v>340</v>
      </c>
      <c r="F25" s="853">
        <v>0</v>
      </c>
      <c r="G25" s="853">
        <v>340</v>
      </c>
      <c r="H25" s="853">
        <v>0</v>
      </c>
      <c r="I25" s="853">
        <v>0</v>
      </c>
      <c r="J25" s="874">
        <v>0</v>
      </c>
      <c r="K25" s="988">
        <v>0</v>
      </c>
    </row>
    <row r="26" spans="1:11" s="985" customFormat="1" ht="18.75" customHeight="1" hidden="1">
      <c r="A26" s="976" t="s">
        <v>1354</v>
      </c>
      <c r="B26" s="979" t="s">
        <v>455</v>
      </c>
      <c r="C26" s="978">
        <f>SUM(6DOCHODY!E553)</f>
        <v>0</v>
      </c>
      <c r="D26" s="978">
        <f>SUM(E26,K26)</f>
        <v>0</v>
      </c>
      <c r="E26" s="973">
        <f>SUM(F26,G26,H26,I26,J26)</f>
        <v>0</v>
      </c>
      <c r="F26" s="978">
        <v>0</v>
      </c>
      <c r="G26" s="978">
        <v>0</v>
      </c>
      <c r="H26" s="978">
        <v>0</v>
      </c>
      <c r="I26" s="978">
        <v>0</v>
      </c>
      <c r="J26" s="993">
        <v>0</v>
      </c>
      <c r="K26" s="994">
        <v>0</v>
      </c>
    </row>
    <row r="27" spans="1:11" ht="18.75" customHeight="1" hidden="1" thickBot="1">
      <c r="A27" s="890" t="s">
        <v>1355</v>
      </c>
      <c r="B27" s="980" t="s">
        <v>455</v>
      </c>
      <c r="C27" s="893">
        <f>SUM(6DOCHODY!F553)</f>
        <v>0</v>
      </c>
      <c r="D27" s="893">
        <f>SUM(E27,K27)</f>
        <v>0</v>
      </c>
      <c r="E27" s="912">
        <f>SUM(F27,G27,H27,I27,J27)</f>
        <v>0</v>
      </c>
      <c r="F27" s="893">
        <v>0</v>
      </c>
      <c r="G27" s="893">
        <v>0</v>
      </c>
      <c r="H27" s="893">
        <v>0</v>
      </c>
      <c r="I27" s="893">
        <v>0</v>
      </c>
      <c r="J27" s="997">
        <v>0</v>
      </c>
      <c r="K27" s="998">
        <v>0</v>
      </c>
    </row>
    <row r="28" spans="1:11" s="1000" customFormat="1" ht="18.75" customHeight="1">
      <c r="A28" s="850" t="s">
        <v>519</v>
      </c>
      <c r="B28" s="851" t="s">
        <v>518</v>
      </c>
      <c r="C28" s="981">
        <f aca="true" t="shared" si="6" ref="C28:K28">SUM(C10,C22)</f>
        <v>9500</v>
      </c>
      <c r="D28" s="981">
        <f t="shared" si="6"/>
        <v>9500</v>
      </c>
      <c r="E28" s="981">
        <f t="shared" si="6"/>
        <v>9500</v>
      </c>
      <c r="F28" s="981">
        <f t="shared" si="6"/>
        <v>0</v>
      </c>
      <c r="G28" s="981">
        <f t="shared" si="6"/>
        <v>9500</v>
      </c>
      <c r="H28" s="981">
        <f t="shared" si="6"/>
        <v>0</v>
      </c>
      <c r="I28" s="981">
        <f t="shared" si="6"/>
        <v>0</v>
      </c>
      <c r="J28" s="981">
        <f t="shared" si="6"/>
        <v>0</v>
      </c>
      <c r="K28" s="999">
        <f t="shared" si="6"/>
        <v>0</v>
      </c>
    </row>
    <row r="29" spans="1:11" s="175" customFormat="1" ht="18.75" customHeight="1" thickBot="1">
      <c r="A29" s="982" t="s">
        <v>520</v>
      </c>
      <c r="B29" s="983" t="s">
        <v>518</v>
      </c>
      <c r="C29" s="984">
        <f aca="true" t="shared" si="7" ref="C29:K29">SUM(C11,C23)</f>
        <v>9500</v>
      </c>
      <c r="D29" s="984">
        <f t="shared" si="7"/>
        <v>340</v>
      </c>
      <c r="E29" s="984">
        <f t="shared" si="7"/>
        <v>340</v>
      </c>
      <c r="F29" s="984">
        <f t="shared" si="7"/>
        <v>0</v>
      </c>
      <c r="G29" s="984">
        <f t="shared" si="7"/>
        <v>340</v>
      </c>
      <c r="H29" s="984">
        <f t="shared" si="7"/>
        <v>0</v>
      </c>
      <c r="I29" s="984">
        <f t="shared" si="7"/>
        <v>0</v>
      </c>
      <c r="J29" s="984">
        <f t="shared" si="7"/>
        <v>0</v>
      </c>
      <c r="K29" s="1001">
        <f t="shared" si="7"/>
        <v>0</v>
      </c>
    </row>
    <row r="31" spans="1:11" ht="23.25" customHeight="1" hidden="1">
      <c r="A31" s="191" t="s">
        <v>1244</v>
      </c>
      <c r="B31" s="191" t="s">
        <v>1054</v>
      </c>
      <c r="C31" s="206">
        <v>9500</v>
      </c>
      <c r="D31" s="206">
        <f>SUM(E31,K31)</f>
        <v>340</v>
      </c>
      <c r="E31" s="206">
        <f>SUM(F31:J31)</f>
        <v>340</v>
      </c>
      <c r="F31" s="206">
        <v>0</v>
      </c>
      <c r="G31" s="206">
        <v>340</v>
      </c>
      <c r="H31" s="206">
        <v>0</v>
      </c>
      <c r="I31" s="206">
        <v>0</v>
      </c>
      <c r="J31" s="206">
        <v>0</v>
      </c>
      <c r="K31" s="206">
        <v>0</v>
      </c>
    </row>
    <row r="32" spans="1:11" s="175" customFormat="1" ht="12.75" hidden="1">
      <c r="A32" s="173"/>
      <c r="B32" s="173" t="s">
        <v>1323</v>
      </c>
      <c r="C32" s="225">
        <f aca="true" t="shared" si="8" ref="C32:K32">C29-C31</f>
        <v>0</v>
      </c>
      <c r="D32" s="225">
        <f t="shared" si="8"/>
        <v>0</v>
      </c>
      <c r="E32" s="225">
        <f t="shared" si="8"/>
        <v>0</v>
      </c>
      <c r="F32" s="225">
        <f t="shared" si="8"/>
        <v>0</v>
      </c>
      <c r="G32" s="225">
        <f t="shared" si="8"/>
        <v>0</v>
      </c>
      <c r="H32" s="225">
        <f t="shared" si="8"/>
        <v>0</v>
      </c>
      <c r="I32" s="225">
        <f t="shared" si="8"/>
        <v>0</v>
      </c>
      <c r="J32" s="225">
        <f t="shared" si="8"/>
        <v>0</v>
      </c>
      <c r="K32" s="225">
        <f t="shared" si="8"/>
        <v>0</v>
      </c>
    </row>
    <row r="34" spans="1:4" ht="12.75">
      <c r="A34" s="1682"/>
      <c r="B34" s="1682"/>
      <c r="C34" s="206"/>
      <c r="D34" s="206"/>
    </row>
  </sheetData>
  <sheetProtection password="CF53" sheet="1" formatRows="0" insertColumns="0" insertRows="0" insertHyperlinks="0" deleteColumns="0" deleteRows="0" sort="0" autoFilter="0" pivotTables="0"/>
  <mergeCells count="14">
    <mergeCell ref="A3:K3"/>
    <mergeCell ref="A5:A8"/>
    <mergeCell ref="C5:C8"/>
    <mergeCell ref="D5:D8"/>
    <mergeCell ref="B5:B8"/>
    <mergeCell ref="E5:K5"/>
    <mergeCell ref="K6:K8"/>
    <mergeCell ref="A34:B34"/>
    <mergeCell ref="H7:H8"/>
    <mergeCell ref="I7:I8"/>
    <mergeCell ref="F7:G7"/>
    <mergeCell ref="E6:E8"/>
    <mergeCell ref="F6:J6"/>
    <mergeCell ref="J7:J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K22"/>
  <sheetViews>
    <sheetView defaultGridColor="0" view="pageBreakPreview" zoomScaleSheetLayoutView="100" zoomScalePageLayoutView="0" colorId="8" workbookViewId="0" topLeftCell="A1">
      <selection activeCell="A16" sqref="A16:IV22"/>
    </sheetView>
  </sheetViews>
  <sheetFormatPr defaultColWidth="9.00390625" defaultRowHeight="12.75"/>
  <cols>
    <col min="1" max="1" width="13.00390625" style="191" customWidth="1"/>
    <col min="2" max="2" width="11.25390625" style="191" customWidth="1"/>
    <col min="3" max="3" width="11.125" style="174" customWidth="1"/>
    <col min="4" max="4" width="12.625" style="174" customWidth="1"/>
    <col min="5" max="5" width="12.00390625" style="174" customWidth="1"/>
    <col min="6" max="6" width="13.75390625" style="174" customWidth="1"/>
    <col min="7" max="7" width="12.625" style="174" customWidth="1"/>
    <col min="8" max="8" width="11.25390625" style="174" customWidth="1"/>
    <col min="9" max="9" width="11.875" style="174" customWidth="1"/>
    <col min="10" max="10" width="10.125" style="174" customWidth="1"/>
    <col min="11" max="11" width="10.75390625" style="174" customWidth="1"/>
    <col min="12" max="16384" width="9.125" style="174" customWidth="1"/>
  </cols>
  <sheetData>
    <row r="1" spans="1:11" ht="12.75">
      <c r="A1" s="964"/>
      <c r="B1" s="964"/>
      <c r="C1" s="869"/>
      <c r="D1" s="869"/>
      <c r="E1" s="869"/>
      <c r="F1" s="869"/>
      <c r="G1" s="869"/>
      <c r="H1" s="869"/>
      <c r="I1" s="880"/>
      <c r="J1" s="880"/>
      <c r="K1" s="880" t="s">
        <v>878</v>
      </c>
    </row>
    <row r="2" spans="1:9" ht="21" customHeight="1">
      <c r="A2" s="964"/>
      <c r="B2" s="964"/>
      <c r="C2" s="869"/>
      <c r="D2" s="869"/>
      <c r="E2" s="869"/>
      <c r="F2" s="869"/>
      <c r="G2" s="869"/>
      <c r="H2" s="869"/>
      <c r="I2" s="869"/>
    </row>
    <row r="3" spans="1:11" ht="51" customHeight="1">
      <c r="A3" s="1620" t="s">
        <v>893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</row>
    <row r="4" spans="1:11" ht="24" customHeight="1" thickBot="1">
      <c r="A4" s="964"/>
      <c r="B4" s="964"/>
      <c r="C4" s="869"/>
      <c r="D4" s="869"/>
      <c r="E4" s="869"/>
      <c r="F4" s="869"/>
      <c r="G4" s="869"/>
      <c r="H4" s="869"/>
      <c r="I4" s="178"/>
      <c r="J4" s="178"/>
      <c r="K4" s="178" t="s">
        <v>1351</v>
      </c>
    </row>
    <row r="5" spans="1:11" s="191" customFormat="1" ht="17.25" customHeight="1">
      <c r="A5" s="1683" t="s">
        <v>1353</v>
      </c>
      <c r="B5" s="1665" t="s">
        <v>1352</v>
      </c>
      <c r="C5" s="1664" t="s">
        <v>890</v>
      </c>
      <c r="D5" s="1664" t="s">
        <v>34</v>
      </c>
      <c r="E5" s="1664" t="s">
        <v>184</v>
      </c>
      <c r="F5" s="1664"/>
      <c r="G5" s="1664"/>
      <c r="H5" s="1664"/>
      <c r="I5" s="1664"/>
      <c r="J5" s="1686"/>
      <c r="K5" s="1687"/>
    </row>
    <row r="6" spans="1:11" s="191" customFormat="1" ht="17.25" customHeight="1">
      <c r="A6" s="1589"/>
      <c r="B6" s="1591"/>
      <c r="C6" s="1593"/>
      <c r="D6" s="1593"/>
      <c r="E6" s="1680" t="s">
        <v>1053</v>
      </c>
      <c r="F6" s="1671" t="s">
        <v>378</v>
      </c>
      <c r="G6" s="1672"/>
      <c r="H6" s="1672"/>
      <c r="I6" s="1672"/>
      <c r="J6" s="1673"/>
      <c r="K6" s="1675" t="s">
        <v>1120</v>
      </c>
    </row>
    <row r="7" spans="1:11" s="191" customFormat="1" ht="16.5" customHeight="1">
      <c r="A7" s="1684"/>
      <c r="B7" s="1685"/>
      <c r="C7" s="1685"/>
      <c r="D7" s="1674"/>
      <c r="E7" s="1688"/>
      <c r="F7" s="1674" t="s">
        <v>33</v>
      </c>
      <c r="G7" s="1674"/>
      <c r="H7" s="1674" t="s">
        <v>30</v>
      </c>
      <c r="I7" s="1678" t="s">
        <v>31</v>
      </c>
      <c r="J7" s="1680" t="s">
        <v>32</v>
      </c>
      <c r="K7" s="1676"/>
    </row>
    <row r="8" spans="1:11" s="191" customFormat="1" ht="72" customHeight="1">
      <c r="A8" s="1684"/>
      <c r="B8" s="1685"/>
      <c r="C8" s="1685"/>
      <c r="D8" s="1674"/>
      <c r="E8" s="1593"/>
      <c r="F8" s="966" t="s">
        <v>891</v>
      </c>
      <c r="G8" s="966" t="s">
        <v>29</v>
      </c>
      <c r="H8" s="1674"/>
      <c r="I8" s="1679"/>
      <c r="J8" s="1593"/>
      <c r="K8" s="1677"/>
    </row>
    <row r="9" spans="1:11" ht="14.25" customHeight="1">
      <c r="A9" s="215">
        <v>1</v>
      </c>
      <c r="B9" s="208">
        <v>2</v>
      </c>
      <c r="C9" s="208">
        <v>3</v>
      </c>
      <c r="D9" s="208">
        <v>4</v>
      </c>
      <c r="E9" s="208">
        <v>5</v>
      </c>
      <c r="F9" s="208">
        <v>6</v>
      </c>
      <c r="G9" s="208">
        <v>7</v>
      </c>
      <c r="H9" s="208">
        <v>8</v>
      </c>
      <c r="I9" s="208">
        <v>9</v>
      </c>
      <c r="J9" s="208">
        <v>10</v>
      </c>
      <c r="K9" s="967">
        <v>11</v>
      </c>
    </row>
    <row r="10" spans="1:11" s="570" customFormat="1" ht="19.5" customHeight="1">
      <c r="A10" s="1633" t="s">
        <v>1318</v>
      </c>
      <c r="B10" s="1634"/>
      <c r="C10" s="1634"/>
      <c r="D10" s="1634"/>
      <c r="E10" s="1634"/>
      <c r="F10" s="1634"/>
      <c r="G10" s="1634"/>
      <c r="H10" s="1634"/>
      <c r="I10" s="1634"/>
      <c r="J10" s="1634"/>
      <c r="K10" s="1689"/>
    </row>
    <row r="11" spans="1:11" s="985" customFormat="1" ht="19.5" customHeight="1">
      <c r="A11" s="971" t="s">
        <v>1354</v>
      </c>
      <c r="B11" s="974">
        <v>85204</v>
      </c>
      <c r="C11" s="973">
        <f>6DOCHODY!E540</f>
        <v>120170</v>
      </c>
      <c r="D11" s="973">
        <f>SUM(E11,K11)</f>
        <v>120170</v>
      </c>
      <c r="E11" s="973">
        <f>SUM(F11,G11,H11,I11,J11)</f>
        <v>120170</v>
      </c>
      <c r="F11" s="973">
        <v>0</v>
      </c>
      <c r="G11" s="973">
        <v>0</v>
      </c>
      <c r="H11" s="973">
        <v>0</v>
      </c>
      <c r="I11" s="973">
        <v>120170</v>
      </c>
      <c r="J11" s="973">
        <v>0</v>
      </c>
      <c r="K11" s="987">
        <v>0</v>
      </c>
    </row>
    <row r="12" spans="1:11" s="570" customFormat="1" ht="19.5" customHeight="1">
      <c r="A12" s="215" t="s">
        <v>1355</v>
      </c>
      <c r="B12" s="913">
        <v>85204</v>
      </c>
      <c r="C12" s="868">
        <f>6DOCHODY!F540</f>
        <v>50432.7</v>
      </c>
      <c r="D12" s="868">
        <f>SUM(E12,K12)</f>
        <v>54149.73</v>
      </c>
      <c r="E12" s="868">
        <f>SUM(F12,G12,H12,I12,J12)</f>
        <v>54149.73</v>
      </c>
      <c r="F12" s="868">
        <v>0</v>
      </c>
      <c r="G12" s="868">
        <v>0</v>
      </c>
      <c r="H12" s="868">
        <v>0</v>
      </c>
      <c r="I12" s="868">
        <v>54149.73</v>
      </c>
      <c r="J12" s="868">
        <v>0</v>
      </c>
      <c r="K12" s="1418">
        <v>0</v>
      </c>
    </row>
    <row r="13" spans="1:11" s="1000" customFormat="1" ht="19.5" customHeight="1">
      <c r="A13" s="965" t="s">
        <v>519</v>
      </c>
      <c r="B13" s="966" t="s">
        <v>518</v>
      </c>
      <c r="C13" s="968">
        <f>SUM(C11)</f>
        <v>120170</v>
      </c>
      <c r="D13" s="968">
        <f>SUM(E13,K13)</f>
        <v>120170</v>
      </c>
      <c r="E13" s="968">
        <f>SUM(F13,G13,H13,I13,J13)</f>
        <v>120170</v>
      </c>
      <c r="F13" s="968">
        <f aca="true" t="shared" si="0" ref="F13:K13">SUM(F11)</f>
        <v>0</v>
      </c>
      <c r="G13" s="968">
        <f t="shared" si="0"/>
        <v>0</v>
      </c>
      <c r="H13" s="968">
        <f t="shared" si="0"/>
        <v>0</v>
      </c>
      <c r="I13" s="968">
        <f t="shared" si="0"/>
        <v>120170</v>
      </c>
      <c r="J13" s="968">
        <f t="shared" si="0"/>
        <v>0</v>
      </c>
      <c r="K13" s="995">
        <f t="shared" si="0"/>
        <v>0</v>
      </c>
    </row>
    <row r="14" spans="1:11" s="175" customFormat="1" ht="19.5" customHeight="1" thickBot="1">
      <c r="A14" s="982" t="s">
        <v>520</v>
      </c>
      <c r="B14" s="983" t="s">
        <v>518</v>
      </c>
      <c r="C14" s="984">
        <f>SUM(C12)</f>
        <v>50432.7</v>
      </c>
      <c r="D14" s="1419">
        <f>SUM(E14,K14)</f>
        <v>54149.73</v>
      </c>
      <c r="E14" s="1419">
        <f>SUM(F14,G14,H14,I14,J14)</f>
        <v>54149.73</v>
      </c>
      <c r="F14" s="984">
        <f aca="true" t="shared" si="1" ref="F14:K14">SUM(F12)</f>
        <v>0</v>
      </c>
      <c r="G14" s="984">
        <f t="shared" si="1"/>
        <v>0</v>
      </c>
      <c r="H14" s="984">
        <f t="shared" si="1"/>
        <v>0</v>
      </c>
      <c r="I14" s="984">
        <f t="shared" si="1"/>
        <v>54149.73</v>
      </c>
      <c r="J14" s="984">
        <f t="shared" si="1"/>
        <v>0</v>
      </c>
      <c r="K14" s="1001">
        <f t="shared" si="1"/>
        <v>0</v>
      </c>
    </row>
    <row r="16" spans="3:4" ht="12.75" hidden="1">
      <c r="C16" s="206">
        <f>C14</f>
        <v>50432.7</v>
      </c>
      <c r="D16" s="174" t="s">
        <v>1055</v>
      </c>
    </row>
    <row r="17" spans="3:4" ht="12.75" hidden="1">
      <c r="C17" s="206">
        <f>D14</f>
        <v>54149.73</v>
      </c>
      <c r="D17" s="174" t="s">
        <v>364</v>
      </c>
    </row>
    <row r="18" spans="1:6" s="175" customFormat="1" ht="12.75" hidden="1">
      <c r="A18" s="1587" t="s">
        <v>1349</v>
      </c>
      <c r="B18" s="1587"/>
      <c r="C18" s="225">
        <f>C16-C17</f>
        <v>-3717.030000000006</v>
      </c>
      <c r="D18" s="175" t="s">
        <v>366</v>
      </c>
      <c r="F18" s="175" t="s">
        <v>365</v>
      </c>
    </row>
    <row r="19" ht="12.75" hidden="1"/>
    <row r="20" ht="12.75" hidden="1"/>
    <row r="21" ht="12.75" hidden="1"/>
    <row r="22" spans="1:3" s="1421" customFormat="1" ht="18.75" hidden="1">
      <c r="A22" s="1420"/>
      <c r="B22" s="1420"/>
      <c r="C22" s="1421" t="s">
        <v>892</v>
      </c>
    </row>
  </sheetData>
  <sheetProtection password="CF53" sheet="1" formatRows="0" insertColumns="0" insertRows="0" insertHyperlinks="0" deleteColumns="0" deleteRows="0" sort="0" autoFilter="0" pivotTables="0"/>
  <mergeCells count="15">
    <mergeCell ref="A18:B18"/>
    <mergeCell ref="E5:K5"/>
    <mergeCell ref="E6:E8"/>
    <mergeCell ref="F6:J6"/>
    <mergeCell ref="K6:K8"/>
    <mergeCell ref="A10:K10"/>
    <mergeCell ref="A3:K3"/>
    <mergeCell ref="C5:C8"/>
    <mergeCell ref="D5:D8"/>
    <mergeCell ref="B5:B8"/>
    <mergeCell ref="I7:I8"/>
    <mergeCell ref="F7:G7"/>
    <mergeCell ref="H7:H8"/>
    <mergeCell ref="J7:J8"/>
    <mergeCell ref="A5:A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79"/>
  <sheetViews>
    <sheetView view="pageBreakPreview" zoomScale="75" zoomScaleSheetLayoutView="75" zoomScalePageLayoutView="0" workbookViewId="0" topLeftCell="A52">
      <selection activeCell="A71" sqref="A71:IV80"/>
    </sheetView>
  </sheetViews>
  <sheetFormatPr defaultColWidth="9.00390625" defaultRowHeight="12" customHeight="1"/>
  <cols>
    <col min="1" max="1" width="3.625" style="1396" customWidth="1"/>
    <col min="2" max="2" width="7.875" style="125" customWidth="1"/>
    <col min="3" max="3" width="90.125" style="126" customWidth="1"/>
    <col min="4" max="4" width="14.00390625" style="125" customWidth="1"/>
    <col min="5" max="5" width="12.875" style="125" customWidth="1"/>
    <col min="6" max="6" width="5.75390625" style="127" customWidth="1"/>
    <col min="7" max="7" width="14.625" style="127" customWidth="1"/>
    <col min="8" max="8" width="9.125" style="127" customWidth="1"/>
    <col min="9" max="9" width="14.75390625" style="125" hidden="1" customWidth="1"/>
    <col min="10" max="10" width="11.375" style="125" hidden="1" customWidth="1"/>
    <col min="11" max="16384" width="9.125" style="125" customWidth="1"/>
  </cols>
  <sheetData>
    <row r="1" spans="1:8" s="1244" customFormat="1" ht="12" customHeight="1">
      <c r="A1" s="1247"/>
      <c r="C1" s="1245"/>
      <c r="F1" s="1246"/>
      <c r="G1" s="1731" t="s">
        <v>882</v>
      </c>
      <c r="H1" s="1731"/>
    </row>
    <row r="2" spans="1:8" s="1244" customFormat="1" ht="38.25" customHeight="1">
      <c r="A2" s="1735" t="s">
        <v>1366</v>
      </c>
      <c r="B2" s="1735"/>
      <c r="C2" s="1735"/>
      <c r="D2" s="1735"/>
      <c r="E2" s="1735"/>
      <c r="F2" s="1735"/>
      <c r="G2" s="1735"/>
      <c r="H2" s="1735"/>
    </row>
    <row r="3" spans="1:8" s="1244" customFormat="1" ht="12" customHeight="1">
      <c r="A3" s="1247"/>
      <c r="C3" s="1245"/>
      <c r="F3" s="1248"/>
      <c r="G3" s="1248"/>
      <c r="H3" s="1248" t="s">
        <v>1351</v>
      </c>
    </row>
    <row r="4" spans="1:8" s="1247" customFormat="1" ht="12" customHeight="1">
      <c r="A4" s="1716" t="s">
        <v>168</v>
      </c>
      <c r="B4" s="1716" t="s">
        <v>1352</v>
      </c>
      <c r="C4" s="1716" t="s">
        <v>1353</v>
      </c>
      <c r="D4" s="1716" t="s">
        <v>1375</v>
      </c>
      <c r="E4" s="1716"/>
      <c r="F4" s="1736" t="s">
        <v>1356</v>
      </c>
      <c r="G4" s="1737" t="s">
        <v>855</v>
      </c>
      <c r="H4" s="1714" t="s">
        <v>883</v>
      </c>
    </row>
    <row r="5" spans="1:10" s="1247" customFormat="1" ht="27.75" customHeight="1">
      <c r="A5" s="1716"/>
      <c r="B5" s="1716"/>
      <c r="C5" s="1726"/>
      <c r="D5" s="1249" t="s">
        <v>491</v>
      </c>
      <c r="E5" s="1249" t="s">
        <v>1244</v>
      </c>
      <c r="F5" s="1736"/>
      <c r="G5" s="1737"/>
      <c r="H5" s="1715"/>
      <c r="I5" s="1730" t="s">
        <v>852</v>
      </c>
      <c r="J5" s="1728"/>
    </row>
    <row r="6" spans="1:10" s="1252" customFormat="1" ht="19.5" customHeight="1">
      <c r="A6" s="1700" t="s">
        <v>492</v>
      </c>
      <c r="B6" s="1701"/>
      <c r="C6" s="1702"/>
      <c r="D6" s="1250">
        <f>SUM(D11,D14,D17)</f>
        <v>368000</v>
      </c>
      <c r="E6" s="1250">
        <f>SUM(E11,E14,E17)</f>
        <v>56806.200000000004</v>
      </c>
      <c r="F6" s="1251">
        <f>E6*100/D6</f>
        <v>15.436467391304348</v>
      </c>
      <c r="G6" s="1397" t="s">
        <v>884</v>
      </c>
      <c r="H6" s="1397" t="s">
        <v>884</v>
      </c>
      <c r="I6" s="1253">
        <v>769024</v>
      </c>
      <c r="J6" s="1253">
        <v>334494.21</v>
      </c>
    </row>
    <row r="7" spans="1:8" s="1259" customFormat="1" ht="12" customHeight="1" hidden="1">
      <c r="A7" s="1691" t="s">
        <v>171</v>
      </c>
      <c r="B7" s="1691">
        <v>70001</v>
      </c>
      <c r="C7" s="1712" t="s">
        <v>955</v>
      </c>
      <c r="D7" s="1423"/>
      <c r="E7" s="1423"/>
      <c r="F7" s="1424" t="e">
        <f aca="true" t="shared" si="0" ref="F7:F54">E7*100/D7</f>
        <v>#DIV/0!</v>
      </c>
      <c r="G7" s="1263"/>
      <c r="H7" s="1263"/>
    </row>
    <row r="8" spans="1:8" s="1259" customFormat="1" ht="12" customHeight="1" hidden="1">
      <c r="A8" s="1692"/>
      <c r="B8" s="1692"/>
      <c r="C8" s="1713"/>
      <c r="D8" s="1425"/>
      <c r="E8" s="1425"/>
      <c r="F8" s="1426" t="e">
        <f t="shared" si="0"/>
        <v>#DIV/0!</v>
      </c>
      <c r="G8" s="1262"/>
      <c r="H8" s="1262"/>
    </row>
    <row r="9" spans="1:8" s="1259" customFormat="1" ht="12" customHeight="1" hidden="1">
      <c r="A9" s="1692"/>
      <c r="B9" s="1692"/>
      <c r="C9" s="1713"/>
      <c r="D9" s="1425"/>
      <c r="E9" s="1425"/>
      <c r="F9" s="1426" t="e">
        <f t="shared" si="0"/>
        <v>#DIV/0!</v>
      </c>
      <c r="G9" s="1262"/>
      <c r="H9" s="1262"/>
    </row>
    <row r="10" spans="1:8" s="1259" customFormat="1" ht="12" customHeight="1" hidden="1">
      <c r="A10" s="1692"/>
      <c r="B10" s="1692"/>
      <c r="C10" s="1713"/>
      <c r="D10" s="1425"/>
      <c r="E10" s="1425"/>
      <c r="F10" s="1426" t="e">
        <f t="shared" si="0"/>
        <v>#DIV/0!</v>
      </c>
      <c r="G10" s="1262"/>
      <c r="H10" s="1262"/>
    </row>
    <row r="11" spans="1:10" s="1259" customFormat="1" ht="29.25" customHeight="1" hidden="1">
      <c r="A11" s="1692"/>
      <c r="B11" s="1692"/>
      <c r="C11" s="1713"/>
      <c r="D11" s="1425">
        <v>0</v>
      </c>
      <c r="E11" s="1425">
        <v>0</v>
      </c>
      <c r="F11" s="1426" t="e">
        <f t="shared" si="0"/>
        <v>#DIV/0!</v>
      </c>
      <c r="G11" s="1720" t="s">
        <v>860</v>
      </c>
      <c r="H11" s="1732" t="s">
        <v>901</v>
      </c>
      <c r="I11" s="1374">
        <v>894345</v>
      </c>
      <c r="J11" s="1373">
        <v>534448.67</v>
      </c>
    </row>
    <row r="12" spans="1:10" s="1395" customFormat="1" ht="15.75" customHeight="1" hidden="1">
      <c r="A12" s="1692"/>
      <c r="B12" s="1692"/>
      <c r="C12" s="1430" t="s">
        <v>880</v>
      </c>
      <c r="D12" s="1431">
        <v>0</v>
      </c>
      <c r="E12" s="1431">
        <v>0</v>
      </c>
      <c r="F12" s="1432" t="e">
        <f t="shared" si="0"/>
        <v>#DIV/0!</v>
      </c>
      <c r="G12" s="1721"/>
      <c r="H12" s="1733"/>
      <c r="I12" s="1393"/>
      <c r="J12" s="1394"/>
    </row>
    <row r="13" spans="1:8" s="1395" customFormat="1" ht="15.75" customHeight="1" hidden="1">
      <c r="A13" s="1693"/>
      <c r="B13" s="1693"/>
      <c r="C13" s="1429" t="s">
        <v>881</v>
      </c>
      <c r="D13" s="1427">
        <v>0</v>
      </c>
      <c r="E13" s="1427">
        <v>0</v>
      </c>
      <c r="F13" s="1428" t="e">
        <f t="shared" si="0"/>
        <v>#DIV/0!</v>
      </c>
      <c r="G13" s="1722"/>
      <c r="H13" s="1734"/>
    </row>
    <row r="14" spans="1:8" s="1259" customFormat="1" ht="26.25" customHeight="1">
      <c r="A14" s="1691" t="s">
        <v>171</v>
      </c>
      <c r="B14" s="1706" t="s">
        <v>1181</v>
      </c>
      <c r="C14" s="1435" t="s">
        <v>602</v>
      </c>
      <c r="D14" s="1423">
        <f>D15+D16</f>
        <v>368000</v>
      </c>
      <c r="E14" s="1423">
        <f>E15+E16</f>
        <v>56806.200000000004</v>
      </c>
      <c r="F14" s="1424">
        <f t="shared" si="0"/>
        <v>15.436467391304348</v>
      </c>
      <c r="G14" s="1706" t="s">
        <v>858</v>
      </c>
      <c r="H14" s="1706">
        <v>140</v>
      </c>
    </row>
    <row r="15" spans="1:8" s="1259" customFormat="1" ht="15.75" customHeight="1">
      <c r="A15" s="1692"/>
      <c r="B15" s="1707"/>
      <c r="C15" s="1439" t="s">
        <v>880</v>
      </c>
      <c r="D15" s="1440">
        <v>315335</v>
      </c>
      <c r="E15" s="1440">
        <v>54159.05</v>
      </c>
      <c r="F15" s="1441">
        <f t="shared" si="0"/>
        <v>17.17508364120697</v>
      </c>
      <c r="G15" s="1707"/>
      <c r="H15" s="1707"/>
    </row>
    <row r="16" spans="1:8" s="1259" customFormat="1" ht="15.75" customHeight="1">
      <c r="A16" s="1693"/>
      <c r="B16" s="1708"/>
      <c r="C16" s="1429" t="s">
        <v>881</v>
      </c>
      <c r="D16" s="1433">
        <v>52665</v>
      </c>
      <c r="E16" s="1433">
        <v>2647.15</v>
      </c>
      <c r="F16" s="1428">
        <f t="shared" si="0"/>
        <v>5.026393240292414</v>
      </c>
      <c r="G16" s="1708"/>
      <c r="H16" s="1708"/>
    </row>
    <row r="17" spans="1:8" s="1259" customFormat="1" ht="27" customHeight="1" hidden="1">
      <c r="A17" s="1691" t="s">
        <v>249</v>
      </c>
      <c r="B17" s="1691">
        <v>85395</v>
      </c>
      <c r="C17" s="1435" t="s">
        <v>1180</v>
      </c>
      <c r="D17" s="1423">
        <v>0</v>
      </c>
      <c r="E17" s="1423">
        <v>0</v>
      </c>
      <c r="F17" s="1424" t="e">
        <f t="shared" si="0"/>
        <v>#DIV/0!</v>
      </c>
      <c r="G17" s="1723" t="s">
        <v>856</v>
      </c>
      <c r="H17" s="1709"/>
    </row>
    <row r="18" spans="1:8" s="1259" customFormat="1" ht="15.75" customHeight="1" hidden="1">
      <c r="A18" s="1692"/>
      <c r="B18" s="1692"/>
      <c r="C18" s="1439" t="s">
        <v>880</v>
      </c>
      <c r="D18" s="1440">
        <v>0</v>
      </c>
      <c r="E18" s="1440">
        <v>0</v>
      </c>
      <c r="F18" s="1441" t="e">
        <f t="shared" si="0"/>
        <v>#DIV/0!</v>
      </c>
      <c r="G18" s="1724"/>
      <c r="H18" s="1710"/>
    </row>
    <row r="19" spans="1:8" s="1259" customFormat="1" ht="15.75" customHeight="1" hidden="1">
      <c r="A19" s="1693"/>
      <c r="B19" s="1693"/>
      <c r="C19" s="1429" t="s">
        <v>881</v>
      </c>
      <c r="D19" s="1433">
        <v>0</v>
      </c>
      <c r="E19" s="1433">
        <v>0</v>
      </c>
      <c r="F19" s="1428" t="e">
        <f t="shared" si="0"/>
        <v>#DIV/0!</v>
      </c>
      <c r="G19" s="1725"/>
      <c r="H19" s="1711"/>
    </row>
    <row r="20" spans="1:10" s="1252" customFormat="1" ht="19.5" customHeight="1">
      <c r="A20" s="1700" t="s">
        <v>493</v>
      </c>
      <c r="B20" s="1701"/>
      <c r="C20" s="1702"/>
      <c r="D20" s="1250">
        <f>SUM(D21,D24,D27,D30,D33,D36,D39,D42,D45,D48,D51)</f>
        <v>10162983</v>
      </c>
      <c r="E20" s="1250">
        <f>SUM(E21,E24,E27,E30,E33,E36,E39,E42,E45,E48,E51)</f>
        <v>3037418.7</v>
      </c>
      <c r="F20" s="1251">
        <f t="shared" si="0"/>
        <v>29.887078429630357</v>
      </c>
      <c r="G20" s="1397" t="s">
        <v>884</v>
      </c>
      <c r="H20" s="1397" t="s">
        <v>884</v>
      </c>
      <c r="I20" s="1253">
        <v>15515050</v>
      </c>
      <c r="J20" s="1253">
        <v>2299858.82</v>
      </c>
    </row>
    <row r="21" spans="1:10" s="1259" customFormat="1" ht="25.5" customHeight="1">
      <c r="A21" s="1691" t="s">
        <v>172</v>
      </c>
      <c r="B21" s="1738">
        <v>70001</v>
      </c>
      <c r="C21" s="1435" t="s">
        <v>956</v>
      </c>
      <c r="D21" s="1423">
        <v>520983</v>
      </c>
      <c r="E21" s="1423">
        <v>0</v>
      </c>
      <c r="F21" s="1424">
        <f t="shared" si="0"/>
        <v>0</v>
      </c>
      <c r="G21" s="1717" t="s">
        <v>955</v>
      </c>
      <c r="H21" s="1717" t="s">
        <v>901</v>
      </c>
      <c r="I21" s="1727" t="s">
        <v>401</v>
      </c>
      <c r="J21" s="1728"/>
    </row>
    <row r="22" spans="1:8" s="1259" customFormat="1" ht="15.75" customHeight="1">
      <c r="A22" s="1692"/>
      <c r="B22" s="1739"/>
      <c r="C22" s="1439" t="s">
        <v>880</v>
      </c>
      <c r="D22" s="1440">
        <v>520983</v>
      </c>
      <c r="E22" s="1440">
        <v>0</v>
      </c>
      <c r="F22" s="1441">
        <f t="shared" si="0"/>
        <v>0</v>
      </c>
      <c r="G22" s="1718"/>
      <c r="H22" s="1718"/>
    </row>
    <row r="23" spans="1:8" s="1259" customFormat="1" ht="15.75" customHeight="1">
      <c r="A23" s="1693"/>
      <c r="B23" s="1740"/>
      <c r="C23" s="1429" t="s">
        <v>881</v>
      </c>
      <c r="D23" s="1433">
        <v>0</v>
      </c>
      <c r="E23" s="1433">
        <v>0</v>
      </c>
      <c r="F23" s="1536" t="s">
        <v>144</v>
      </c>
      <c r="G23" s="1719"/>
      <c r="H23" s="1719"/>
    </row>
    <row r="24" spans="1:10" s="1259" customFormat="1" ht="29.25" customHeight="1" hidden="1">
      <c r="A24" s="1691" t="s">
        <v>257</v>
      </c>
      <c r="B24" s="1691">
        <v>60016</v>
      </c>
      <c r="C24" s="1435" t="s">
        <v>854</v>
      </c>
      <c r="D24" s="1423">
        <v>0</v>
      </c>
      <c r="E24" s="1423">
        <v>0</v>
      </c>
      <c r="F24" s="1424" t="e">
        <f t="shared" si="0"/>
        <v>#DIV/0!</v>
      </c>
      <c r="G24" s="1720" t="s">
        <v>857</v>
      </c>
      <c r="H24" s="1717" t="s">
        <v>901</v>
      </c>
      <c r="I24" s="1729">
        <v>9733500</v>
      </c>
      <c r="J24" s="1729">
        <v>7876041.58</v>
      </c>
    </row>
    <row r="25" spans="1:10" s="1259" customFormat="1" ht="15.75" customHeight="1" hidden="1">
      <c r="A25" s="1692"/>
      <c r="B25" s="1692"/>
      <c r="C25" s="1439" t="s">
        <v>880</v>
      </c>
      <c r="D25" s="1440">
        <v>0</v>
      </c>
      <c r="E25" s="1440">
        <v>0</v>
      </c>
      <c r="F25" s="1441" t="e">
        <f t="shared" si="0"/>
        <v>#DIV/0!</v>
      </c>
      <c r="G25" s="1721"/>
      <c r="H25" s="1718"/>
      <c r="I25" s="1729"/>
      <c r="J25" s="1729"/>
    </row>
    <row r="26" spans="1:10" s="1259" customFormat="1" ht="15.75" customHeight="1" hidden="1">
      <c r="A26" s="1693"/>
      <c r="B26" s="1693"/>
      <c r="C26" s="1429" t="s">
        <v>881</v>
      </c>
      <c r="D26" s="1433">
        <v>0</v>
      </c>
      <c r="E26" s="1433">
        <v>0</v>
      </c>
      <c r="F26" s="1428" t="e">
        <f t="shared" si="0"/>
        <v>#DIV/0!</v>
      </c>
      <c r="G26" s="1722"/>
      <c r="H26" s="1719"/>
      <c r="I26" s="1729"/>
      <c r="J26" s="1729"/>
    </row>
    <row r="27" spans="1:10" s="1259" customFormat="1" ht="29.25" customHeight="1" hidden="1">
      <c r="A27" s="1691" t="s">
        <v>258</v>
      </c>
      <c r="B27" s="1691">
        <v>63095</v>
      </c>
      <c r="C27" s="1435" t="s">
        <v>494</v>
      </c>
      <c r="D27" s="1423">
        <v>0</v>
      </c>
      <c r="E27" s="1436">
        <v>0</v>
      </c>
      <c r="F27" s="1424" t="e">
        <f t="shared" si="0"/>
        <v>#DIV/0!</v>
      </c>
      <c r="G27" s="1720" t="s">
        <v>857</v>
      </c>
      <c r="H27" s="1717"/>
      <c r="I27" s="1729"/>
      <c r="J27" s="1729"/>
    </row>
    <row r="28" spans="1:10" s="1259" customFormat="1" ht="15.75" customHeight="1" hidden="1">
      <c r="A28" s="1692"/>
      <c r="B28" s="1692"/>
      <c r="C28" s="1439" t="s">
        <v>880</v>
      </c>
      <c r="D28" s="1442">
        <v>0</v>
      </c>
      <c r="E28" s="1442">
        <v>0</v>
      </c>
      <c r="F28" s="1441" t="e">
        <f t="shared" si="0"/>
        <v>#DIV/0!</v>
      </c>
      <c r="G28" s="1721"/>
      <c r="H28" s="1718"/>
      <c r="I28" s="1374"/>
      <c r="J28" s="1374"/>
    </row>
    <row r="29" spans="1:10" s="1259" customFormat="1" ht="15.75" customHeight="1" hidden="1">
      <c r="A29" s="1693"/>
      <c r="B29" s="1693"/>
      <c r="C29" s="1429" t="s">
        <v>881</v>
      </c>
      <c r="D29" s="1434">
        <v>0</v>
      </c>
      <c r="E29" s="1434">
        <v>0</v>
      </c>
      <c r="F29" s="1428" t="e">
        <f t="shared" si="0"/>
        <v>#DIV/0!</v>
      </c>
      <c r="G29" s="1722"/>
      <c r="H29" s="1719"/>
      <c r="I29" s="1374"/>
      <c r="J29" s="1374"/>
    </row>
    <row r="30" spans="1:10" s="1264" customFormat="1" ht="24.75" customHeight="1">
      <c r="A30" s="1703" t="s">
        <v>249</v>
      </c>
      <c r="B30" s="1741">
        <v>80101</v>
      </c>
      <c r="C30" s="1437" t="s">
        <v>954</v>
      </c>
      <c r="D30" s="1438">
        <v>1618000</v>
      </c>
      <c r="E30" s="1436">
        <v>5733.34</v>
      </c>
      <c r="F30" s="1424">
        <f t="shared" si="0"/>
        <v>0.35434734239802224</v>
      </c>
      <c r="G30" s="1717" t="s">
        <v>957</v>
      </c>
      <c r="H30" s="1717">
        <v>125</v>
      </c>
      <c r="I30" s="1375"/>
      <c r="J30" s="1375"/>
    </row>
    <row r="31" spans="1:8" s="1259" customFormat="1" ht="15.75" customHeight="1">
      <c r="A31" s="1704"/>
      <c r="B31" s="1742"/>
      <c r="C31" s="1439" t="s">
        <v>880</v>
      </c>
      <c r="D31" s="1442">
        <v>1000000</v>
      </c>
      <c r="E31" s="1442">
        <v>0</v>
      </c>
      <c r="F31" s="1441">
        <f t="shared" si="0"/>
        <v>0</v>
      </c>
      <c r="G31" s="1718"/>
      <c r="H31" s="1718"/>
    </row>
    <row r="32" spans="1:8" s="1259" customFormat="1" ht="15.75" customHeight="1">
      <c r="A32" s="1705"/>
      <c r="B32" s="1743"/>
      <c r="C32" s="1429" t="s">
        <v>881</v>
      </c>
      <c r="D32" s="1434">
        <v>618000</v>
      </c>
      <c r="E32" s="1434">
        <v>5733.34</v>
      </c>
      <c r="F32" s="1428">
        <f t="shared" si="0"/>
        <v>0.9277249190938511</v>
      </c>
      <c r="G32" s="1719"/>
      <c r="H32" s="1719"/>
    </row>
    <row r="33" spans="1:8" s="1259" customFormat="1" ht="26.25" customHeight="1">
      <c r="A33" s="1703" t="s">
        <v>256</v>
      </c>
      <c r="B33" s="1717" t="s">
        <v>948</v>
      </c>
      <c r="C33" s="1437" t="s">
        <v>868</v>
      </c>
      <c r="D33" s="1471">
        <v>4304000</v>
      </c>
      <c r="E33" s="1471">
        <v>1539551.06</v>
      </c>
      <c r="F33" s="1424">
        <f aca="true" t="shared" si="1" ref="F33:F38">E33*100/D33</f>
        <v>35.77023838289963</v>
      </c>
      <c r="G33" s="1717" t="s">
        <v>857</v>
      </c>
      <c r="H33" s="1717" t="s">
        <v>586</v>
      </c>
    </row>
    <row r="34" spans="1:8" s="1259" customFormat="1" ht="15.75" customHeight="1">
      <c r="A34" s="1704"/>
      <c r="B34" s="1718"/>
      <c r="C34" s="1439" t="s">
        <v>880</v>
      </c>
      <c r="D34" s="1472">
        <v>1897166</v>
      </c>
      <c r="E34" s="1472">
        <v>689579.42</v>
      </c>
      <c r="F34" s="1445">
        <f t="shared" si="1"/>
        <v>36.34786940099074</v>
      </c>
      <c r="G34" s="1718"/>
      <c r="H34" s="1718"/>
    </row>
    <row r="35" spans="1:8" s="1259" customFormat="1" ht="18.75" customHeight="1">
      <c r="A35" s="1705"/>
      <c r="B35" s="1719"/>
      <c r="C35" s="1429" t="s">
        <v>881</v>
      </c>
      <c r="D35" s="1470">
        <v>2406834</v>
      </c>
      <c r="E35" s="1470">
        <v>849971.64</v>
      </c>
      <c r="F35" s="1443">
        <f t="shared" si="1"/>
        <v>35.31492574892992</v>
      </c>
      <c r="G35" s="1719"/>
      <c r="H35" s="1719"/>
    </row>
    <row r="36" spans="1:9" s="1264" customFormat="1" ht="39.75" customHeight="1">
      <c r="A36" s="1691" t="s">
        <v>257</v>
      </c>
      <c r="B36" s="1694">
        <v>90004</v>
      </c>
      <c r="C36" s="1447" t="s">
        <v>886</v>
      </c>
      <c r="D36" s="1423">
        <v>585000</v>
      </c>
      <c r="E36" s="1423">
        <v>0</v>
      </c>
      <c r="F36" s="1424">
        <f t="shared" si="1"/>
        <v>0</v>
      </c>
      <c r="G36" s="1706" t="s">
        <v>857</v>
      </c>
      <c r="H36" s="1717" t="s">
        <v>901</v>
      </c>
      <c r="I36" s="1264" t="s">
        <v>947</v>
      </c>
    </row>
    <row r="37" spans="1:8" s="1264" customFormat="1" ht="15.75" customHeight="1">
      <c r="A37" s="1692"/>
      <c r="B37" s="1695"/>
      <c r="C37" s="1439" t="s">
        <v>880</v>
      </c>
      <c r="D37" s="1442">
        <v>497000</v>
      </c>
      <c r="E37" s="1442">
        <v>0</v>
      </c>
      <c r="F37" s="1448">
        <f t="shared" si="1"/>
        <v>0</v>
      </c>
      <c r="G37" s="1707"/>
      <c r="H37" s="1718"/>
    </row>
    <row r="38" spans="1:8" s="1264" customFormat="1" ht="15.75" customHeight="1">
      <c r="A38" s="1693"/>
      <c r="B38" s="1696"/>
      <c r="C38" s="1429" t="s">
        <v>881</v>
      </c>
      <c r="D38" s="1434">
        <v>88000</v>
      </c>
      <c r="E38" s="1434">
        <v>0</v>
      </c>
      <c r="F38" s="1444">
        <f t="shared" si="1"/>
        <v>0</v>
      </c>
      <c r="G38" s="1708"/>
      <c r="H38" s="1719"/>
    </row>
    <row r="39" spans="1:8" s="1264" customFormat="1" ht="35.25" customHeight="1" hidden="1">
      <c r="A39" s="1703" t="s">
        <v>261</v>
      </c>
      <c r="B39" s="1744">
        <v>85395</v>
      </c>
      <c r="C39" s="1446" t="s">
        <v>869</v>
      </c>
      <c r="D39" s="1438">
        <v>0</v>
      </c>
      <c r="E39" s="1438">
        <v>0</v>
      </c>
      <c r="F39" s="1424" t="e">
        <f t="shared" si="0"/>
        <v>#DIV/0!</v>
      </c>
      <c r="G39" s="1720" t="s">
        <v>857</v>
      </c>
      <c r="H39" s="1717" t="s">
        <v>901</v>
      </c>
    </row>
    <row r="40" spans="1:8" s="1264" customFormat="1" ht="15.75" customHeight="1" hidden="1">
      <c r="A40" s="1704"/>
      <c r="B40" s="1745"/>
      <c r="C40" s="1439" t="s">
        <v>880</v>
      </c>
      <c r="D40" s="1440">
        <v>0</v>
      </c>
      <c r="E40" s="1440">
        <v>0</v>
      </c>
      <c r="F40" s="1441" t="e">
        <f aca="true" t="shared" si="2" ref="F40:F47">E40*100/D40</f>
        <v>#DIV/0!</v>
      </c>
      <c r="G40" s="1721"/>
      <c r="H40" s="1718"/>
    </row>
    <row r="41" spans="1:8" s="1264" customFormat="1" ht="15.75" customHeight="1" hidden="1">
      <c r="A41" s="1705"/>
      <c r="B41" s="1746"/>
      <c r="C41" s="1429" t="s">
        <v>881</v>
      </c>
      <c r="D41" s="1433">
        <v>0</v>
      </c>
      <c r="E41" s="1433">
        <v>0</v>
      </c>
      <c r="F41" s="1428" t="e">
        <f t="shared" si="2"/>
        <v>#DIV/0!</v>
      </c>
      <c r="G41" s="1722"/>
      <c r="H41" s="1719"/>
    </row>
    <row r="42" spans="1:10" s="1259" customFormat="1" ht="27" customHeight="1">
      <c r="A42" s="1691" t="s">
        <v>258</v>
      </c>
      <c r="B42" s="1694">
        <v>90004</v>
      </c>
      <c r="C42" s="1422" t="s">
        <v>949</v>
      </c>
      <c r="D42" s="1423">
        <v>1062000</v>
      </c>
      <c r="E42" s="1423">
        <v>580314.51</v>
      </c>
      <c r="F42" s="1424">
        <f t="shared" si="2"/>
        <v>54.643550847457625</v>
      </c>
      <c r="G42" s="1706" t="s">
        <v>857</v>
      </c>
      <c r="H42" s="1706">
        <v>143</v>
      </c>
      <c r="I42" s="1374"/>
      <c r="J42" s="1374"/>
    </row>
    <row r="43" spans="1:10" s="1259" customFormat="1" ht="15.75" customHeight="1">
      <c r="A43" s="1692"/>
      <c r="B43" s="1695"/>
      <c r="C43" s="1439" t="s">
        <v>880</v>
      </c>
      <c r="D43" s="1440">
        <v>575000</v>
      </c>
      <c r="E43" s="1442">
        <v>315762.86</v>
      </c>
      <c r="F43" s="1441">
        <f t="shared" si="2"/>
        <v>54.91528</v>
      </c>
      <c r="G43" s="1707"/>
      <c r="H43" s="1707"/>
      <c r="I43" s="1374"/>
      <c r="J43" s="1374"/>
    </row>
    <row r="44" spans="1:10" s="1259" customFormat="1" ht="15.75" customHeight="1">
      <c r="A44" s="1693"/>
      <c r="B44" s="1696"/>
      <c r="C44" s="1429" t="s">
        <v>881</v>
      </c>
      <c r="D44" s="1433">
        <v>487000</v>
      </c>
      <c r="E44" s="1434">
        <v>264551.65</v>
      </c>
      <c r="F44" s="1428">
        <f t="shared" si="2"/>
        <v>54.32272073921972</v>
      </c>
      <c r="G44" s="1708"/>
      <c r="H44" s="1708"/>
      <c r="I44" s="1374"/>
      <c r="J44" s="1374"/>
    </row>
    <row r="45" spans="1:8" s="1259" customFormat="1" ht="27.75" customHeight="1">
      <c r="A45" s="1699" t="s">
        <v>330</v>
      </c>
      <c r="B45" s="1698">
        <v>90095</v>
      </c>
      <c r="C45" s="1435" t="s">
        <v>875</v>
      </c>
      <c r="D45" s="1423">
        <v>1878000</v>
      </c>
      <c r="E45" s="1423">
        <v>911819.79</v>
      </c>
      <c r="F45" s="1424">
        <f t="shared" si="2"/>
        <v>48.55270447284345</v>
      </c>
      <c r="G45" s="1690" t="s">
        <v>857</v>
      </c>
      <c r="H45" s="1690">
        <v>144</v>
      </c>
    </row>
    <row r="46" spans="1:8" s="1259" customFormat="1" ht="15.75" customHeight="1">
      <c r="A46" s="1699"/>
      <c r="B46" s="1698"/>
      <c r="C46" s="1439" t="s">
        <v>880</v>
      </c>
      <c r="D46" s="1440">
        <v>684000</v>
      </c>
      <c r="E46" s="1440">
        <v>604046.28</v>
      </c>
      <c r="F46" s="1441">
        <f t="shared" si="2"/>
        <v>88.3108596491228</v>
      </c>
      <c r="G46" s="1690"/>
      <c r="H46" s="1690"/>
    </row>
    <row r="47" spans="1:8" s="1259" customFormat="1" ht="15.75" customHeight="1">
      <c r="A47" s="1699"/>
      <c r="B47" s="1698"/>
      <c r="C47" s="1429" t="s">
        <v>881</v>
      </c>
      <c r="D47" s="1433">
        <v>1194000</v>
      </c>
      <c r="E47" s="1433">
        <v>307773.51</v>
      </c>
      <c r="F47" s="1428">
        <f t="shared" si="2"/>
        <v>25.776675879396986</v>
      </c>
      <c r="G47" s="1690"/>
      <c r="H47" s="1690"/>
    </row>
    <row r="48" spans="1:8" s="1259" customFormat="1" ht="29.25" customHeight="1">
      <c r="A48" s="1698" t="s">
        <v>331</v>
      </c>
      <c r="B48" s="1698">
        <v>92109</v>
      </c>
      <c r="C48" s="1506" t="s">
        <v>960</v>
      </c>
      <c r="D48" s="1507">
        <v>125000</v>
      </c>
      <c r="E48" s="1507">
        <v>0</v>
      </c>
      <c r="F48" s="1508">
        <f>E48*100/D48</f>
        <v>0</v>
      </c>
      <c r="G48" s="1690" t="s">
        <v>857</v>
      </c>
      <c r="H48" s="1690" t="s">
        <v>901</v>
      </c>
    </row>
    <row r="49" spans="1:8" s="1259" customFormat="1" ht="15.75" customHeight="1">
      <c r="A49" s="1698"/>
      <c r="B49" s="1698"/>
      <c r="C49" s="1509" t="s">
        <v>880</v>
      </c>
      <c r="D49" s="1472">
        <v>0</v>
      </c>
      <c r="E49" s="1472">
        <v>0</v>
      </c>
      <c r="F49" s="1541" t="s">
        <v>144</v>
      </c>
      <c r="G49" s="1690"/>
      <c r="H49" s="1690"/>
    </row>
    <row r="50" spans="1:8" s="1259" customFormat="1" ht="15.75" customHeight="1">
      <c r="A50" s="1698"/>
      <c r="B50" s="1698"/>
      <c r="C50" s="1510" t="s">
        <v>881</v>
      </c>
      <c r="D50" s="1470">
        <v>125000</v>
      </c>
      <c r="E50" s="1470">
        <v>0</v>
      </c>
      <c r="F50" s="1511">
        <f>E50*100/D50</f>
        <v>0</v>
      </c>
      <c r="G50" s="1690"/>
      <c r="H50" s="1690"/>
    </row>
    <row r="51" spans="1:8" s="1259" customFormat="1" ht="28.5" customHeight="1">
      <c r="A51" s="1699" t="s">
        <v>259</v>
      </c>
      <c r="B51" s="1698">
        <v>92601</v>
      </c>
      <c r="C51" s="1435" t="s">
        <v>950</v>
      </c>
      <c r="D51" s="1423">
        <v>70000</v>
      </c>
      <c r="E51" s="1423">
        <v>0</v>
      </c>
      <c r="F51" s="1424">
        <f t="shared" si="0"/>
        <v>0</v>
      </c>
      <c r="G51" s="1690" t="s">
        <v>857</v>
      </c>
      <c r="H51" s="1690" t="s">
        <v>901</v>
      </c>
    </row>
    <row r="52" spans="1:8" s="1259" customFormat="1" ht="15.75" customHeight="1">
      <c r="A52" s="1699"/>
      <c r="B52" s="1698"/>
      <c r="C52" s="1439" t="s">
        <v>880</v>
      </c>
      <c r="D52" s="1440">
        <v>52500</v>
      </c>
      <c r="E52" s="1440">
        <v>0</v>
      </c>
      <c r="F52" s="1441">
        <f>E52*100/D52</f>
        <v>0</v>
      </c>
      <c r="G52" s="1690"/>
      <c r="H52" s="1690"/>
    </row>
    <row r="53" spans="1:8" s="1259" customFormat="1" ht="15.75" customHeight="1">
      <c r="A53" s="1699"/>
      <c r="B53" s="1698"/>
      <c r="C53" s="1429" t="s">
        <v>881</v>
      </c>
      <c r="D53" s="1433">
        <v>17500</v>
      </c>
      <c r="E53" s="1433">
        <v>0</v>
      </c>
      <c r="F53" s="1428">
        <f>E53*100/D53</f>
        <v>0</v>
      </c>
      <c r="G53" s="1690"/>
      <c r="H53" s="1690"/>
    </row>
    <row r="54" spans="1:10" s="1252" customFormat="1" ht="19.5" customHeight="1">
      <c r="A54" s="1697" t="s">
        <v>495</v>
      </c>
      <c r="B54" s="1697"/>
      <c r="C54" s="1697"/>
      <c r="D54" s="1250">
        <f>SUM(D55)</f>
        <v>31250</v>
      </c>
      <c r="E54" s="1250">
        <f>SUM(E55)</f>
        <v>15339.42</v>
      </c>
      <c r="F54" s="1251">
        <f t="shared" si="0"/>
        <v>49.086144</v>
      </c>
      <c r="G54" s="1397" t="s">
        <v>884</v>
      </c>
      <c r="H54" s="1397" t="s">
        <v>884</v>
      </c>
      <c r="I54" s="1253">
        <v>87492</v>
      </c>
      <c r="J54" s="1253">
        <v>53250.43</v>
      </c>
    </row>
    <row r="55" spans="1:8" s="1259" customFormat="1" ht="27.75" customHeight="1">
      <c r="A55" s="1699" t="s">
        <v>261</v>
      </c>
      <c r="B55" s="1698">
        <v>85395</v>
      </c>
      <c r="C55" s="1449" t="s">
        <v>1376</v>
      </c>
      <c r="D55" s="1423">
        <v>31250</v>
      </c>
      <c r="E55" s="1423">
        <v>15339.42</v>
      </c>
      <c r="F55" s="1424">
        <f>E55*100/D55</f>
        <v>49.086144</v>
      </c>
      <c r="G55" s="1690" t="s">
        <v>859</v>
      </c>
      <c r="H55" s="1690">
        <v>163</v>
      </c>
    </row>
    <row r="56" spans="1:8" s="1259" customFormat="1" ht="15.75" customHeight="1">
      <c r="A56" s="1699"/>
      <c r="B56" s="1698"/>
      <c r="C56" s="1439" t="s">
        <v>880</v>
      </c>
      <c r="D56" s="1440">
        <v>31250</v>
      </c>
      <c r="E56" s="1440">
        <v>15339.42</v>
      </c>
      <c r="F56" s="1441">
        <f>E56*100/D56</f>
        <v>49.086144</v>
      </c>
      <c r="G56" s="1690"/>
      <c r="H56" s="1690"/>
    </row>
    <row r="57" spans="1:8" s="1259" customFormat="1" ht="15.75" customHeight="1">
      <c r="A57" s="1699"/>
      <c r="B57" s="1698"/>
      <c r="C57" s="1429" t="s">
        <v>881</v>
      </c>
      <c r="D57" s="1433">
        <v>0</v>
      </c>
      <c r="E57" s="1433">
        <v>0</v>
      </c>
      <c r="F57" s="1450" t="s">
        <v>144</v>
      </c>
      <c r="G57" s="1690"/>
      <c r="H57" s="1690"/>
    </row>
    <row r="58" spans="1:10" s="1252" customFormat="1" ht="19.5" customHeight="1">
      <c r="A58" s="1697" t="s">
        <v>496</v>
      </c>
      <c r="B58" s="1697"/>
      <c r="C58" s="1697"/>
      <c r="D58" s="1250">
        <f>SUM(D59,D62,D65)</f>
        <v>2991124</v>
      </c>
      <c r="E58" s="1250">
        <f>SUM(E59,E62,E65)</f>
        <v>1058994.9500000002</v>
      </c>
      <c r="F58" s="1251">
        <f aca="true" t="shared" si="3" ref="F58:F70">E58*100/D58</f>
        <v>35.404582023346414</v>
      </c>
      <c r="G58" s="1397" t="s">
        <v>884</v>
      </c>
      <c r="H58" s="1397" t="s">
        <v>884</v>
      </c>
      <c r="I58" s="1253">
        <v>9504302</v>
      </c>
      <c r="J58" s="1253">
        <v>2656495.2</v>
      </c>
    </row>
    <row r="59" spans="1:8" s="1259" customFormat="1" ht="30.75" customHeight="1">
      <c r="A59" s="1691" t="s">
        <v>332</v>
      </c>
      <c r="B59" s="1694">
        <v>60015</v>
      </c>
      <c r="C59" s="1422" t="s">
        <v>42</v>
      </c>
      <c r="D59" s="1423">
        <v>1743000</v>
      </c>
      <c r="E59" s="1423">
        <v>1047138.06</v>
      </c>
      <c r="F59" s="1424">
        <f t="shared" si="3"/>
        <v>60.07676764199656</v>
      </c>
      <c r="G59" s="1690" t="s">
        <v>857</v>
      </c>
      <c r="H59" s="1690">
        <v>149</v>
      </c>
    </row>
    <row r="60" spans="1:8" s="1259" customFormat="1" ht="15.75" customHeight="1">
      <c r="A60" s="1692"/>
      <c r="B60" s="1695"/>
      <c r="C60" s="1430" t="s">
        <v>880</v>
      </c>
      <c r="D60" s="1451">
        <v>605000</v>
      </c>
      <c r="E60" s="1451">
        <v>360066.14</v>
      </c>
      <c r="F60" s="1432">
        <f t="shared" si="3"/>
        <v>59.51506446280992</v>
      </c>
      <c r="G60" s="1690"/>
      <c r="H60" s="1690"/>
    </row>
    <row r="61" spans="1:8" s="1259" customFormat="1" ht="15.75" customHeight="1">
      <c r="A61" s="1693"/>
      <c r="B61" s="1696"/>
      <c r="C61" s="1429" t="s">
        <v>881</v>
      </c>
      <c r="D61" s="1433">
        <v>1138000</v>
      </c>
      <c r="E61" s="1433">
        <v>687071.92</v>
      </c>
      <c r="F61" s="1428">
        <f t="shared" si="3"/>
        <v>60.37538840070299</v>
      </c>
      <c r="G61" s="1690"/>
      <c r="H61" s="1690"/>
    </row>
    <row r="62" spans="1:8" s="1259" customFormat="1" ht="33" customHeight="1">
      <c r="A62" s="1691" t="s">
        <v>262</v>
      </c>
      <c r="B62" s="1694">
        <v>80120</v>
      </c>
      <c r="C62" s="1512" t="s">
        <v>1138</v>
      </c>
      <c r="D62" s="1423">
        <v>1242000</v>
      </c>
      <c r="E62" s="1423">
        <v>5733.34</v>
      </c>
      <c r="F62" s="1424">
        <f t="shared" si="3"/>
        <v>0.46162157809983895</v>
      </c>
      <c r="G62" s="1690" t="s">
        <v>958</v>
      </c>
      <c r="H62" s="1690">
        <v>155</v>
      </c>
    </row>
    <row r="63" spans="1:8" s="1259" customFormat="1" ht="15.75" customHeight="1">
      <c r="A63" s="1692"/>
      <c r="B63" s="1695"/>
      <c r="C63" s="1430" t="s">
        <v>880</v>
      </c>
      <c r="D63" s="1451">
        <v>1000000</v>
      </c>
      <c r="E63" s="1451">
        <v>0</v>
      </c>
      <c r="F63" s="1432">
        <f t="shared" si="3"/>
        <v>0</v>
      </c>
      <c r="G63" s="1690"/>
      <c r="H63" s="1690"/>
    </row>
    <row r="64" spans="1:8" s="1259" customFormat="1" ht="15.75" customHeight="1">
      <c r="A64" s="1693"/>
      <c r="B64" s="1696"/>
      <c r="C64" s="1429" t="s">
        <v>881</v>
      </c>
      <c r="D64" s="1433">
        <v>242000</v>
      </c>
      <c r="E64" s="1433">
        <v>5733.34</v>
      </c>
      <c r="F64" s="1428">
        <f t="shared" si="3"/>
        <v>2.3691487603305785</v>
      </c>
      <c r="G64" s="1690"/>
      <c r="H64" s="1690"/>
    </row>
    <row r="65" spans="1:8" s="1259" customFormat="1" ht="28.5" customHeight="1">
      <c r="A65" s="1691" t="s">
        <v>263</v>
      </c>
      <c r="B65" s="1694">
        <v>85395</v>
      </c>
      <c r="C65" s="1449" t="s">
        <v>1376</v>
      </c>
      <c r="D65" s="1423">
        <v>6124</v>
      </c>
      <c r="E65" s="1423">
        <v>6123.55</v>
      </c>
      <c r="F65" s="1424">
        <f t="shared" si="3"/>
        <v>99.99265186152842</v>
      </c>
      <c r="G65" s="1690" t="s">
        <v>859</v>
      </c>
      <c r="H65" s="1690">
        <v>163</v>
      </c>
    </row>
    <row r="66" spans="1:8" s="1259" customFormat="1" ht="15.75" customHeight="1">
      <c r="A66" s="1692"/>
      <c r="B66" s="1695"/>
      <c r="C66" s="1439" t="s">
        <v>880</v>
      </c>
      <c r="D66" s="1451">
        <v>6124</v>
      </c>
      <c r="E66" s="1451">
        <v>6123.55</v>
      </c>
      <c r="F66" s="1432">
        <f t="shared" si="3"/>
        <v>99.99265186152842</v>
      </c>
      <c r="G66" s="1690"/>
      <c r="H66" s="1690"/>
    </row>
    <row r="67" spans="1:8" s="1259" customFormat="1" ht="15.75" customHeight="1">
      <c r="A67" s="1693"/>
      <c r="B67" s="1696"/>
      <c r="C67" s="1429" t="s">
        <v>881</v>
      </c>
      <c r="D67" s="1433">
        <v>0</v>
      </c>
      <c r="E67" s="1433">
        <v>0</v>
      </c>
      <c r="F67" s="1542" t="s">
        <v>144</v>
      </c>
      <c r="G67" s="1690"/>
      <c r="H67" s="1690"/>
    </row>
    <row r="68" spans="1:10" s="1377" customFormat="1" ht="19.5" customHeight="1">
      <c r="A68" s="1700" t="s">
        <v>1381</v>
      </c>
      <c r="B68" s="1701"/>
      <c r="C68" s="1702"/>
      <c r="D68" s="1376">
        <f>SUM(D6,D20)</f>
        <v>10530983</v>
      </c>
      <c r="E68" s="1376">
        <f>SUM(E6,E20)</f>
        <v>3094224.9000000004</v>
      </c>
      <c r="F68" s="1251">
        <f t="shared" si="3"/>
        <v>29.38210896361717</v>
      </c>
      <c r="G68" s="1397" t="s">
        <v>884</v>
      </c>
      <c r="H68" s="1397" t="s">
        <v>884</v>
      </c>
      <c r="I68" s="1254">
        <v>16284074</v>
      </c>
      <c r="J68" s="1254">
        <v>2634353.03</v>
      </c>
    </row>
    <row r="69" spans="1:10" s="1377" customFormat="1" ht="19.5" customHeight="1">
      <c r="A69" s="1700" t="s">
        <v>1382</v>
      </c>
      <c r="B69" s="1701"/>
      <c r="C69" s="1702"/>
      <c r="D69" s="1376">
        <f>SUM(D54,D58)</f>
        <v>3022374</v>
      </c>
      <c r="E69" s="1376">
        <f>SUM(E54,E58)</f>
        <v>1074334.37</v>
      </c>
      <c r="F69" s="1251">
        <f t="shared" si="3"/>
        <v>35.5460432759149</v>
      </c>
      <c r="G69" s="1397" t="s">
        <v>884</v>
      </c>
      <c r="H69" s="1397" t="s">
        <v>884</v>
      </c>
      <c r="I69" s="1254">
        <v>9591794</v>
      </c>
      <c r="J69" s="1254">
        <v>2709745.63</v>
      </c>
    </row>
    <row r="70" spans="1:10" s="1377" customFormat="1" ht="19.5" customHeight="1">
      <c r="A70" s="1700" t="s">
        <v>518</v>
      </c>
      <c r="B70" s="1701"/>
      <c r="C70" s="1702"/>
      <c r="D70" s="1376">
        <f>SUM(D68,D69)</f>
        <v>13553357</v>
      </c>
      <c r="E70" s="1376">
        <f>SUM(E68,E69)</f>
        <v>4168559.2700000005</v>
      </c>
      <c r="F70" s="1251">
        <f t="shared" si="3"/>
        <v>30.75665512241728</v>
      </c>
      <c r="G70" s="1397" t="s">
        <v>884</v>
      </c>
      <c r="H70" s="1397" t="s">
        <v>884</v>
      </c>
      <c r="I70" s="1254">
        <f>SUM(I68:I69)</f>
        <v>25875868</v>
      </c>
      <c r="J70" s="1254">
        <f>SUM(J68:J69)</f>
        <v>5344098.66</v>
      </c>
    </row>
    <row r="71" spans="9:24" ht="18" customHeight="1" hidden="1">
      <c r="I71" s="1256">
        <v>25875868</v>
      </c>
      <c r="J71" s="1256">
        <v>4030257.02</v>
      </c>
      <c r="K71" s="1257" t="s">
        <v>853</v>
      </c>
      <c r="L71" s="1257"/>
      <c r="M71" s="1257"/>
      <c r="N71" s="1257"/>
      <c r="O71" s="1257"/>
      <c r="P71" s="1257"/>
      <c r="Q71" s="1257"/>
      <c r="R71" s="1257"/>
      <c r="S71" s="1257"/>
      <c r="T71" s="1257"/>
      <c r="U71" s="1257"/>
      <c r="V71" s="1257"/>
      <c r="W71" s="1257"/>
      <c r="X71" s="1257"/>
    </row>
    <row r="72" spans="9:24" ht="12" customHeight="1" hidden="1">
      <c r="I72" s="1256">
        <f>I70-I71</f>
        <v>0</v>
      </c>
      <c r="J72" s="1256">
        <f>J70-J71</f>
        <v>1313841.6400000001</v>
      </c>
      <c r="K72" s="1257" t="s">
        <v>853</v>
      </c>
      <c r="L72" s="1257"/>
      <c r="M72" s="1257"/>
      <c r="N72" s="1257"/>
      <c r="O72" s="1257"/>
      <c r="P72" s="1257"/>
      <c r="Q72" s="1257"/>
      <c r="R72" s="1257"/>
      <c r="S72" s="1257"/>
      <c r="T72" s="1257"/>
      <c r="U72" s="1257"/>
      <c r="V72" s="1257"/>
      <c r="W72" s="1257"/>
      <c r="X72" s="1257"/>
    </row>
    <row r="73" spans="9:24" ht="12" customHeight="1" hidden="1">
      <c r="I73" s="1257"/>
      <c r="J73" s="1257"/>
      <c r="K73" s="1257"/>
      <c r="L73" s="1257"/>
      <c r="M73" s="1257"/>
      <c r="N73" s="1257"/>
      <c r="O73" s="1257"/>
      <c r="P73" s="1257"/>
      <c r="Q73" s="1257"/>
      <c r="R73" s="1257"/>
      <c r="S73" s="1257"/>
      <c r="T73" s="1257"/>
      <c r="U73" s="1257"/>
      <c r="V73" s="1257"/>
      <c r="W73" s="1257"/>
      <c r="X73" s="1257"/>
    </row>
    <row r="74" ht="12" customHeight="1" hidden="1"/>
    <row r="75" spans="3:5" ht="12" customHeight="1" hidden="1">
      <c r="C75" s="1258" t="s">
        <v>402</v>
      </c>
      <c r="D75" s="1255">
        <v>10530983</v>
      </c>
      <c r="E75" s="1255">
        <v>3094224.9</v>
      </c>
    </row>
    <row r="76" spans="3:5" ht="12" customHeight="1" hidden="1">
      <c r="C76" s="1258" t="s">
        <v>403</v>
      </c>
      <c r="D76" s="1255">
        <v>3022374</v>
      </c>
      <c r="E76" s="1255">
        <v>1074334.37</v>
      </c>
    </row>
    <row r="77" spans="3:5" ht="12" customHeight="1" hidden="1">
      <c r="C77" s="1260"/>
      <c r="D77" s="1259"/>
      <c r="E77" s="1259"/>
    </row>
    <row r="78" spans="3:5" ht="12" customHeight="1" hidden="1">
      <c r="C78" s="128" t="s">
        <v>404</v>
      </c>
      <c r="D78" s="129">
        <f>D68-D75</f>
        <v>0</v>
      </c>
      <c r="E78" s="129">
        <f>E68-E75</f>
        <v>0</v>
      </c>
    </row>
    <row r="79" spans="3:5" ht="12" customHeight="1" hidden="1">
      <c r="C79" s="128" t="s">
        <v>405</v>
      </c>
      <c r="D79" s="129">
        <f>D69-D76</f>
        <v>0</v>
      </c>
      <c r="E79" s="129">
        <f>E69-E76</f>
        <v>0</v>
      </c>
    </row>
    <row r="80" ht="12" customHeight="1" hidden="1"/>
  </sheetData>
  <sheetProtection password="CF53" sheet="1" formatRows="0" insertColumns="0" insertRows="0" insertHyperlinks="0" deleteColumns="0" deleteRows="0" sort="0" autoFilter="0" pivotTables="0"/>
  <mergeCells count="93">
    <mergeCell ref="H51:H53"/>
    <mergeCell ref="G45:G47"/>
    <mergeCell ref="H45:H47"/>
    <mergeCell ref="G48:G50"/>
    <mergeCell ref="H48:H50"/>
    <mergeCell ref="G51:G53"/>
    <mergeCell ref="G42:G44"/>
    <mergeCell ref="G39:G41"/>
    <mergeCell ref="H39:H41"/>
    <mergeCell ref="G36:G38"/>
    <mergeCell ref="H42:H44"/>
    <mergeCell ref="B48:B50"/>
    <mergeCell ref="B45:B47"/>
    <mergeCell ref="H36:H38"/>
    <mergeCell ref="G30:G32"/>
    <mergeCell ref="A33:A35"/>
    <mergeCell ref="B33:B35"/>
    <mergeCell ref="B39:B41"/>
    <mergeCell ref="H33:H35"/>
    <mergeCell ref="H30:H32"/>
    <mergeCell ref="G33:G35"/>
    <mergeCell ref="D4:E4"/>
    <mergeCell ref="F4:F5"/>
    <mergeCell ref="B4:B5"/>
    <mergeCell ref="G4:G5"/>
    <mergeCell ref="G27:G29"/>
    <mergeCell ref="A21:A23"/>
    <mergeCell ref="B21:B23"/>
    <mergeCell ref="G21:G23"/>
    <mergeCell ref="B24:B26"/>
    <mergeCell ref="I21:J21"/>
    <mergeCell ref="J24:J27"/>
    <mergeCell ref="I24:I27"/>
    <mergeCell ref="I5:J5"/>
    <mergeCell ref="G1:H1"/>
    <mergeCell ref="A14:A16"/>
    <mergeCell ref="B14:B16"/>
    <mergeCell ref="G11:G13"/>
    <mergeCell ref="H11:H13"/>
    <mergeCell ref="A2:H2"/>
    <mergeCell ref="H4:H5"/>
    <mergeCell ref="B17:B19"/>
    <mergeCell ref="A4:A5"/>
    <mergeCell ref="H27:H29"/>
    <mergeCell ref="H24:H26"/>
    <mergeCell ref="G24:G26"/>
    <mergeCell ref="G17:G19"/>
    <mergeCell ref="H21:H23"/>
    <mergeCell ref="A27:A29"/>
    <mergeCell ref="C4:C5"/>
    <mergeCell ref="A17:A19"/>
    <mergeCell ref="A20:C20"/>
    <mergeCell ref="H14:H16"/>
    <mergeCell ref="A6:C6"/>
    <mergeCell ref="H17:H19"/>
    <mergeCell ref="A7:A13"/>
    <mergeCell ref="B7:B13"/>
    <mergeCell ref="C7:C11"/>
    <mergeCell ref="G14:G16"/>
    <mergeCell ref="A42:A44"/>
    <mergeCell ref="B42:B44"/>
    <mergeCell ref="A24:A26"/>
    <mergeCell ref="B27:B29"/>
    <mergeCell ref="A36:A38"/>
    <mergeCell ref="B36:B38"/>
    <mergeCell ref="A39:A41"/>
    <mergeCell ref="A30:A32"/>
    <mergeCell ref="B30:B32"/>
    <mergeCell ref="A45:A47"/>
    <mergeCell ref="A59:A61"/>
    <mergeCell ref="B59:B61"/>
    <mergeCell ref="A65:A67"/>
    <mergeCell ref="A54:C54"/>
    <mergeCell ref="B51:B53"/>
    <mergeCell ref="A48:A50"/>
    <mergeCell ref="A51:A53"/>
    <mergeCell ref="G59:G61"/>
    <mergeCell ref="G62:G64"/>
    <mergeCell ref="B55:B57"/>
    <mergeCell ref="A55:A57"/>
    <mergeCell ref="A70:C70"/>
    <mergeCell ref="A69:C69"/>
    <mergeCell ref="A68:C68"/>
    <mergeCell ref="G65:G67"/>
    <mergeCell ref="H65:H67"/>
    <mergeCell ref="H55:H57"/>
    <mergeCell ref="A62:A64"/>
    <mergeCell ref="B65:B67"/>
    <mergeCell ref="H62:H64"/>
    <mergeCell ref="H59:H61"/>
    <mergeCell ref="G55:G57"/>
    <mergeCell ref="B62:B64"/>
    <mergeCell ref="A58:C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4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G62"/>
  <sheetViews>
    <sheetView view="pageBreakPreview" zoomScaleSheetLayoutView="100" zoomScalePageLayoutView="0" workbookViewId="0" topLeftCell="A45">
      <selection activeCell="A61" sqref="A61:IV62"/>
    </sheetView>
  </sheetViews>
  <sheetFormatPr defaultColWidth="9.00390625" defaultRowHeight="12.75"/>
  <cols>
    <col min="1" max="1" width="4.00390625" style="1269" customWidth="1"/>
    <col min="2" max="2" width="8.625" style="1269" customWidth="1"/>
    <col min="3" max="3" width="85.625" style="1269" customWidth="1"/>
    <col min="4" max="4" width="13.125" style="1269" customWidth="1"/>
    <col min="5" max="5" width="13.375" style="1269" customWidth="1"/>
    <col min="6" max="6" width="5.75390625" style="1269" customWidth="1"/>
    <col min="7" max="7" width="9.125" style="1271" customWidth="1"/>
    <col min="8" max="16384" width="9.125" style="1269" customWidth="1"/>
  </cols>
  <sheetData>
    <row r="1" spans="5:6" ht="21.75" customHeight="1">
      <c r="E1" s="1750" t="s">
        <v>728</v>
      </c>
      <c r="F1" s="1750"/>
    </row>
    <row r="2" spans="1:7" s="1268" customFormat="1" ht="58.5" customHeight="1">
      <c r="A2" s="1751" t="s">
        <v>1182</v>
      </c>
      <c r="B2" s="1751"/>
      <c r="C2" s="1751"/>
      <c r="D2" s="1751"/>
      <c r="E2" s="1751"/>
      <c r="F2" s="1751"/>
      <c r="G2" s="1267"/>
    </row>
    <row r="3" spans="3:6" ht="15" customHeight="1" thickBot="1">
      <c r="C3" s="1266"/>
      <c r="F3" s="1270" t="s">
        <v>1351</v>
      </c>
    </row>
    <row r="4" spans="1:7" s="1266" customFormat="1" ht="31.5" customHeight="1">
      <c r="A4" s="1272" t="s">
        <v>168</v>
      </c>
      <c r="B4" s="1273" t="s">
        <v>1352</v>
      </c>
      <c r="C4" s="1273" t="s">
        <v>568</v>
      </c>
      <c r="D4" s="1273" t="s">
        <v>1354</v>
      </c>
      <c r="E4" s="1273" t="s">
        <v>1355</v>
      </c>
      <c r="F4" s="1274" t="s">
        <v>1356</v>
      </c>
      <c r="G4" s="1275"/>
    </row>
    <row r="5" spans="1:7" s="1266" customFormat="1" ht="12" customHeight="1">
      <c r="A5" s="1276">
        <v>1</v>
      </c>
      <c r="B5" s="1277">
        <v>2</v>
      </c>
      <c r="C5" s="1277">
        <v>3</v>
      </c>
      <c r="D5" s="1277">
        <v>4</v>
      </c>
      <c r="E5" s="1277">
        <v>5</v>
      </c>
      <c r="F5" s="1298">
        <v>6</v>
      </c>
      <c r="G5" s="1275"/>
    </row>
    <row r="6" spans="1:7" s="1266" customFormat="1" ht="19.5" customHeight="1">
      <c r="A6" s="1747" t="s">
        <v>660</v>
      </c>
      <c r="B6" s="1748"/>
      <c r="C6" s="1749"/>
      <c r="D6" s="1278">
        <f>SUM(D7)</f>
        <v>5440000</v>
      </c>
      <c r="E6" s="1278">
        <f>SUM(E7)</f>
        <v>367475.5</v>
      </c>
      <c r="F6" s="1285">
        <f>E6/D6*100</f>
        <v>6.755064338235293</v>
      </c>
      <c r="G6" s="1275"/>
    </row>
    <row r="7" spans="1:7" s="1266" customFormat="1" ht="19.5" customHeight="1">
      <c r="A7" s="1286" t="s">
        <v>171</v>
      </c>
      <c r="B7" s="1280">
        <v>50095</v>
      </c>
      <c r="C7" s="1281" t="s">
        <v>959</v>
      </c>
      <c r="D7" s="1282">
        <v>5440000</v>
      </c>
      <c r="E7" s="1282">
        <v>367475.5</v>
      </c>
      <c r="F7" s="1283">
        <f>E7/D7*100</f>
        <v>6.755064338235293</v>
      </c>
      <c r="G7" s="1275"/>
    </row>
    <row r="8" spans="1:7" s="1266" customFormat="1" ht="19.5" customHeight="1">
      <c r="A8" s="1752" t="s">
        <v>1415</v>
      </c>
      <c r="B8" s="1753"/>
      <c r="C8" s="1754"/>
      <c r="D8" s="1284">
        <f>SUM(D9:D20)</f>
        <v>16140000</v>
      </c>
      <c r="E8" s="1284">
        <f>SUM(E9:E20)</f>
        <v>6709548.659999999</v>
      </c>
      <c r="F8" s="1285">
        <f>E8/D8*100</f>
        <v>41.57093345724906</v>
      </c>
      <c r="G8" s="1275"/>
    </row>
    <row r="9" spans="1:6" ht="19.5" customHeight="1">
      <c r="A9" s="1302" t="s">
        <v>172</v>
      </c>
      <c r="B9" s="1291" t="s">
        <v>1416</v>
      </c>
      <c r="C9" s="1265" t="s">
        <v>42</v>
      </c>
      <c r="D9" s="1303">
        <v>4650000</v>
      </c>
      <c r="E9" s="1303">
        <v>3085897.9</v>
      </c>
      <c r="F9" s="1292">
        <f>E9/D9*100</f>
        <v>66.36339569892473</v>
      </c>
    </row>
    <row r="10" spans="1:6" ht="19.5" customHeight="1">
      <c r="A10" s="1286" t="s">
        <v>249</v>
      </c>
      <c r="B10" s="1287" t="s">
        <v>1416</v>
      </c>
      <c r="C10" s="1288" t="s">
        <v>531</v>
      </c>
      <c r="D10" s="1289">
        <v>7000000</v>
      </c>
      <c r="E10" s="1290">
        <v>3399984.53</v>
      </c>
      <c r="F10" s="1279">
        <f aca="true" t="shared" si="0" ref="F10:F59">E10/D10*100</f>
        <v>48.57120757142857</v>
      </c>
    </row>
    <row r="11" spans="1:6" ht="19.5" customHeight="1">
      <c r="A11" s="1286" t="s">
        <v>256</v>
      </c>
      <c r="B11" s="1287" t="s">
        <v>1416</v>
      </c>
      <c r="C11" s="1288" t="s">
        <v>1165</v>
      </c>
      <c r="D11" s="1289">
        <v>50000</v>
      </c>
      <c r="E11" s="1290">
        <v>6168</v>
      </c>
      <c r="F11" s="1279">
        <f t="shared" si="0"/>
        <v>12.336</v>
      </c>
    </row>
    <row r="12" spans="1:6" ht="19.5" customHeight="1">
      <c r="A12" s="1286" t="s">
        <v>257</v>
      </c>
      <c r="B12" s="1291" t="s">
        <v>1416</v>
      </c>
      <c r="C12" s="1265" t="s">
        <v>961</v>
      </c>
      <c r="D12" s="1282">
        <v>1200000</v>
      </c>
      <c r="E12" s="1282">
        <v>9.45</v>
      </c>
      <c r="F12" s="1292">
        <f t="shared" si="0"/>
        <v>0.0007875</v>
      </c>
    </row>
    <row r="13" spans="1:6" ht="19.5" customHeight="1">
      <c r="A13" s="1286" t="s">
        <v>258</v>
      </c>
      <c r="B13" s="1291" t="s">
        <v>1416</v>
      </c>
      <c r="C13" s="1265" t="s">
        <v>962</v>
      </c>
      <c r="D13" s="1282">
        <v>35000</v>
      </c>
      <c r="E13" s="1282">
        <v>0</v>
      </c>
      <c r="F13" s="1292">
        <f t="shared" si="0"/>
        <v>0</v>
      </c>
    </row>
    <row r="14" spans="1:6" ht="19.5" customHeight="1">
      <c r="A14" s="1286" t="s">
        <v>330</v>
      </c>
      <c r="B14" s="1291" t="s">
        <v>1416</v>
      </c>
      <c r="C14" s="1265" t="s">
        <v>963</v>
      </c>
      <c r="D14" s="1282">
        <v>50000</v>
      </c>
      <c r="E14" s="1282">
        <v>0</v>
      </c>
      <c r="F14" s="1292">
        <f t="shared" si="0"/>
        <v>0</v>
      </c>
    </row>
    <row r="15" spans="1:6" ht="19.5" customHeight="1">
      <c r="A15" s="1286" t="s">
        <v>331</v>
      </c>
      <c r="B15" s="1291" t="s">
        <v>1417</v>
      </c>
      <c r="C15" s="1265" t="s">
        <v>569</v>
      </c>
      <c r="D15" s="1282">
        <v>100000</v>
      </c>
      <c r="E15" s="1282">
        <v>0</v>
      </c>
      <c r="F15" s="1292">
        <f t="shared" si="0"/>
        <v>0</v>
      </c>
    </row>
    <row r="16" spans="1:6" ht="19.5" customHeight="1">
      <c r="A16" s="1286" t="s">
        <v>259</v>
      </c>
      <c r="B16" s="1291" t="s">
        <v>1417</v>
      </c>
      <c r="C16" s="1265" t="s">
        <v>862</v>
      </c>
      <c r="D16" s="1282">
        <v>1045000</v>
      </c>
      <c r="E16" s="1282">
        <v>46990.77</v>
      </c>
      <c r="F16" s="1292">
        <f t="shared" si="0"/>
        <v>4.496724401913875</v>
      </c>
    </row>
    <row r="17" spans="1:6" ht="19.5" customHeight="1" hidden="1">
      <c r="A17" s="1286" t="s">
        <v>261</v>
      </c>
      <c r="B17" s="1291" t="s">
        <v>1417</v>
      </c>
      <c r="C17" s="1265" t="s">
        <v>861</v>
      </c>
      <c r="D17" s="1282">
        <v>0</v>
      </c>
      <c r="E17" s="1282">
        <v>0</v>
      </c>
      <c r="F17" s="1292" t="e">
        <f t="shared" si="0"/>
        <v>#DIV/0!</v>
      </c>
    </row>
    <row r="18" spans="1:6" ht="28.5" customHeight="1">
      <c r="A18" s="1286" t="s">
        <v>261</v>
      </c>
      <c r="B18" s="1291" t="s">
        <v>1417</v>
      </c>
      <c r="C18" s="1265" t="s">
        <v>964</v>
      </c>
      <c r="D18" s="1282">
        <v>380000</v>
      </c>
      <c r="E18" s="1282">
        <v>162768.85</v>
      </c>
      <c r="F18" s="1292">
        <f t="shared" si="0"/>
        <v>42.833907894736846</v>
      </c>
    </row>
    <row r="19" spans="1:6" ht="22.5" customHeight="1">
      <c r="A19" s="1286" t="s">
        <v>332</v>
      </c>
      <c r="B19" s="1291" t="s">
        <v>1417</v>
      </c>
      <c r="C19" s="1265" t="s">
        <v>762</v>
      </c>
      <c r="D19" s="1282">
        <v>830000</v>
      </c>
      <c r="E19" s="1282">
        <v>2706</v>
      </c>
      <c r="F19" s="1292">
        <f t="shared" si="0"/>
        <v>0.3260240963855422</v>
      </c>
    </row>
    <row r="20" spans="1:6" ht="19.5" customHeight="1">
      <c r="A20" s="1286" t="s">
        <v>262</v>
      </c>
      <c r="B20" s="1291" t="s">
        <v>1417</v>
      </c>
      <c r="C20" s="1265" t="s">
        <v>1232</v>
      </c>
      <c r="D20" s="1282">
        <v>800000</v>
      </c>
      <c r="E20" s="1282">
        <v>5023.16</v>
      </c>
      <c r="F20" s="1292">
        <f t="shared" si="0"/>
        <v>0.627895</v>
      </c>
    </row>
    <row r="21" spans="1:7" s="1268" customFormat="1" ht="19.5" customHeight="1">
      <c r="A21" s="1747" t="s">
        <v>1420</v>
      </c>
      <c r="B21" s="1748"/>
      <c r="C21" s="1749"/>
      <c r="D21" s="1278">
        <f>SUM(D22,D23)</f>
        <v>256000</v>
      </c>
      <c r="E21" s="1278">
        <f>SUM(E22,E23)</f>
        <v>116847.7</v>
      </c>
      <c r="F21" s="1293">
        <f t="shared" si="0"/>
        <v>45.6436328125</v>
      </c>
      <c r="G21" s="1267"/>
    </row>
    <row r="22" spans="1:6" ht="19.5" customHeight="1">
      <c r="A22" s="1286" t="s">
        <v>263</v>
      </c>
      <c r="B22" s="1291" t="s">
        <v>669</v>
      </c>
      <c r="C22" s="1265" t="s">
        <v>870</v>
      </c>
      <c r="D22" s="1282">
        <v>70000</v>
      </c>
      <c r="E22" s="1282">
        <v>4920</v>
      </c>
      <c r="F22" s="1292">
        <f t="shared" si="0"/>
        <v>7.0285714285714285</v>
      </c>
    </row>
    <row r="23" spans="1:6" ht="19.5" customHeight="1">
      <c r="A23" s="1286" t="s">
        <v>333</v>
      </c>
      <c r="B23" s="1291" t="s">
        <v>669</v>
      </c>
      <c r="C23" s="1265" t="s">
        <v>965</v>
      </c>
      <c r="D23" s="1282">
        <v>186000</v>
      </c>
      <c r="E23" s="1282">
        <v>111927.7</v>
      </c>
      <c r="F23" s="1292">
        <f t="shared" si="0"/>
        <v>60.17618279569892</v>
      </c>
    </row>
    <row r="24" spans="1:7" s="1268" customFormat="1" ht="19.5" customHeight="1">
      <c r="A24" s="1747" t="s">
        <v>1422</v>
      </c>
      <c r="B24" s="1748"/>
      <c r="C24" s="1749"/>
      <c r="D24" s="1278">
        <f>SUM(D25,D26)</f>
        <v>1700000</v>
      </c>
      <c r="E24" s="1278">
        <f>SUM(E25,E26)</f>
        <v>98456.73</v>
      </c>
      <c r="F24" s="1293">
        <f t="shared" si="0"/>
        <v>5.791572352941176</v>
      </c>
      <c r="G24" s="1267"/>
    </row>
    <row r="25" spans="1:6" ht="19.5" customHeight="1" hidden="1">
      <c r="A25" s="1286" t="s">
        <v>264</v>
      </c>
      <c r="B25" s="1291" t="s">
        <v>674</v>
      </c>
      <c r="C25" s="1265" t="s">
        <v>1363</v>
      </c>
      <c r="D25" s="1282"/>
      <c r="E25" s="1282"/>
      <c r="F25" s="1292" t="e">
        <f t="shared" si="0"/>
        <v>#DIV/0!</v>
      </c>
    </row>
    <row r="26" spans="1:6" ht="19.5" customHeight="1">
      <c r="A26" s="1286" t="s">
        <v>264</v>
      </c>
      <c r="B26" s="1291" t="s">
        <v>674</v>
      </c>
      <c r="C26" s="1265" t="s">
        <v>966</v>
      </c>
      <c r="D26" s="1282">
        <v>1700000</v>
      </c>
      <c r="E26" s="1282">
        <v>98456.73</v>
      </c>
      <c r="F26" s="1292">
        <f t="shared" si="0"/>
        <v>5.791572352941176</v>
      </c>
    </row>
    <row r="27" spans="1:6" ht="19.5" customHeight="1">
      <c r="A27" s="1747" t="s">
        <v>1426</v>
      </c>
      <c r="B27" s="1748"/>
      <c r="C27" s="1749"/>
      <c r="D27" s="1278">
        <f>SUM(D28)</f>
        <v>800000</v>
      </c>
      <c r="E27" s="1278">
        <f>SUM(E28)</f>
        <v>0</v>
      </c>
      <c r="F27" s="1293">
        <f>E27/D27*100</f>
        <v>0</v>
      </c>
    </row>
    <row r="28" spans="1:6" ht="19.5" customHeight="1">
      <c r="A28" s="1286" t="s">
        <v>265</v>
      </c>
      <c r="B28" s="1291" t="s">
        <v>1435</v>
      </c>
      <c r="C28" s="1265" t="s">
        <v>967</v>
      </c>
      <c r="D28" s="1282">
        <v>800000</v>
      </c>
      <c r="E28" s="1282">
        <v>0</v>
      </c>
      <c r="F28" s="1292">
        <f>E28/D28*100</f>
        <v>0</v>
      </c>
    </row>
    <row r="29" spans="1:6" ht="19.5" customHeight="1">
      <c r="A29" s="1747" t="s">
        <v>533</v>
      </c>
      <c r="B29" s="1748"/>
      <c r="C29" s="1749"/>
      <c r="D29" s="1278">
        <f>D30</f>
        <v>808000</v>
      </c>
      <c r="E29" s="1278">
        <f>E30</f>
        <v>7328.65</v>
      </c>
      <c r="F29" s="1293">
        <f t="shared" si="0"/>
        <v>0.9070111386138613</v>
      </c>
    </row>
    <row r="30" spans="1:6" ht="19.5" customHeight="1">
      <c r="A30" s="1286" t="s">
        <v>266</v>
      </c>
      <c r="B30" s="1291" t="s">
        <v>1450</v>
      </c>
      <c r="C30" s="1265" t="s">
        <v>968</v>
      </c>
      <c r="D30" s="1282">
        <v>808000</v>
      </c>
      <c r="E30" s="1282">
        <v>7328.65</v>
      </c>
      <c r="F30" s="1292">
        <f t="shared" si="0"/>
        <v>0.9070111386138613</v>
      </c>
    </row>
    <row r="31" spans="1:7" s="1268" customFormat="1" ht="19.5" customHeight="1">
      <c r="A31" s="1747" t="s">
        <v>1460</v>
      </c>
      <c r="B31" s="1748"/>
      <c r="C31" s="1749"/>
      <c r="D31" s="1278">
        <f>SUM(D32:D38)</f>
        <v>461597</v>
      </c>
      <c r="E31" s="1278">
        <f>SUM(E32:E38)</f>
        <v>0</v>
      </c>
      <c r="F31" s="1293">
        <f t="shared" si="0"/>
        <v>0</v>
      </c>
      <c r="G31" s="1267"/>
    </row>
    <row r="32" spans="1:6" ht="32.25" customHeight="1">
      <c r="A32" s="1286" t="s">
        <v>267</v>
      </c>
      <c r="B32" s="1291" t="s">
        <v>1461</v>
      </c>
      <c r="C32" s="1265" t="s">
        <v>969</v>
      </c>
      <c r="D32" s="1282">
        <v>50000</v>
      </c>
      <c r="E32" s="1282">
        <v>0</v>
      </c>
      <c r="F32" s="1292">
        <f t="shared" si="0"/>
        <v>0</v>
      </c>
    </row>
    <row r="33" spans="1:6" ht="30.75" customHeight="1">
      <c r="A33" s="1286" t="s">
        <v>274</v>
      </c>
      <c r="B33" s="1291" t="s">
        <v>1461</v>
      </c>
      <c r="C33" s="1265" t="s">
        <v>970</v>
      </c>
      <c r="D33" s="1290">
        <v>135000</v>
      </c>
      <c r="E33" s="1290">
        <v>0</v>
      </c>
      <c r="F33" s="1292">
        <f t="shared" si="0"/>
        <v>0</v>
      </c>
    </row>
    <row r="34" spans="1:6" ht="30" customHeight="1">
      <c r="A34" s="1286" t="s">
        <v>275</v>
      </c>
      <c r="B34" s="1291" t="s">
        <v>709</v>
      </c>
      <c r="C34" s="1265" t="s">
        <v>971</v>
      </c>
      <c r="D34" s="1290">
        <v>70000</v>
      </c>
      <c r="E34" s="1290">
        <v>0</v>
      </c>
      <c r="F34" s="1292">
        <f t="shared" si="0"/>
        <v>0</v>
      </c>
    </row>
    <row r="35" spans="1:6" ht="25.5" customHeight="1">
      <c r="A35" s="1286" t="s">
        <v>276</v>
      </c>
      <c r="B35" s="1291" t="s">
        <v>1463</v>
      </c>
      <c r="C35" s="1265" t="s">
        <v>972</v>
      </c>
      <c r="D35" s="1290">
        <v>150000</v>
      </c>
      <c r="E35" s="1290">
        <v>0</v>
      </c>
      <c r="F35" s="1279">
        <f t="shared" si="0"/>
        <v>0</v>
      </c>
    </row>
    <row r="36" spans="1:6" ht="28.5" customHeight="1">
      <c r="A36" s="1286" t="s">
        <v>277</v>
      </c>
      <c r="B36" s="1291" t="s">
        <v>1466</v>
      </c>
      <c r="C36" s="1265" t="s">
        <v>973</v>
      </c>
      <c r="D36" s="1290">
        <v>56597</v>
      </c>
      <c r="E36" s="1290">
        <v>0</v>
      </c>
      <c r="F36" s="1279">
        <f t="shared" si="0"/>
        <v>0</v>
      </c>
    </row>
    <row r="37" spans="1:6" ht="19.5" customHeight="1" hidden="1">
      <c r="A37" s="1286" t="s">
        <v>132</v>
      </c>
      <c r="B37" s="1291" t="s">
        <v>1465</v>
      </c>
      <c r="C37" s="1265" t="s">
        <v>864</v>
      </c>
      <c r="D37" s="1290">
        <v>0</v>
      </c>
      <c r="E37" s="1290">
        <v>0</v>
      </c>
      <c r="F37" s="1279" t="e">
        <f t="shared" si="0"/>
        <v>#DIV/0!</v>
      </c>
    </row>
    <row r="38" spans="1:6" ht="19.5" customHeight="1" hidden="1">
      <c r="A38" s="1286" t="s">
        <v>133</v>
      </c>
      <c r="B38" s="1291" t="s">
        <v>1466</v>
      </c>
      <c r="C38" s="1265" t="s">
        <v>865</v>
      </c>
      <c r="D38" s="1290">
        <v>0</v>
      </c>
      <c r="E38" s="1290">
        <v>0</v>
      </c>
      <c r="F38" s="1279" t="e">
        <f t="shared" si="0"/>
        <v>#DIV/0!</v>
      </c>
    </row>
    <row r="39" spans="1:7" s="1268" customFormat="1" ht="19.5" customHeight="1">
      <c r="A39" s="1752" t="s">
        <v>1469</v>
      </c>
      <c r="B39" s="1753"/>
      <c r="C39" s="1754"/>
      <c r="D39" s="1284">
        <f>SUM(D40,D41,D42)</f>
        <v>1120000</v>
      </c>
      <c r="E39" s="1284">
        <f>SUM(E40,E41,E42)</f>
        <v>411555.68</v>
      </c>
      <c r="F39" s="1285">
        <f t="shared" si="0"/>
        <v>36.74604285714286</v>
      </c>
      <c r="G39" s="1267"/>
    </row>
    <row r="40" spans="1:6" ht="19.5" customHeight="1">
      <c r="A40" s="1286" t="s">
        <v>132</v>
      </c>
      <c r="B40" s="1291" t="s">
        <v>725</v>
      </c>
      <c r="C40" s="1265" t="s">
        <v>974</v>
      </c>
      <c r="D40" s="1282">
        <v>600000</v>
      </c>
      <c r="E40" s="1282">
        <v>63671.63</v>
      </c>
      <c r="F40" s="1292">
        <f t="shared" si="0"/>
        <v>10.611938333333333</v>
      </c>
    </row>
    <row r="41" spans="1:6" ht="19.5" customHeight="1">
      <c r="A41" s="1286" t="s">
        <v>133</v>
      </c>
      <c r="B41" s="1291" t="s">
        <v>727</v>
      </c>
      <c r="C41" s="1265" t="s">
        <v>379</v>
      </c>
      <c r="D41" s="1282">
        <v>60000</v>
      </c>
      <c r="E41" s="1282">
        <v>0</v>
      </c>
      <c r="F41" s="1292">
        <f>E41/D41*100</f>
        <v>0</v>
      </c>
    </row>
    <row r="42" spans="1:6" ht="19.5" customHeight="1">
      <c r="A42" s="1286" t="s">
        <v>134</v>
      </c>
      <c r="B42" s="1291" t="s">
        <v>1470</v>
      </c>
      <c r="C42" s="1265" t="s">
        <v>761</v>
      </c>
      <c r="D42" s="1282">
        <v>460000</v>
      </c>
      <c r="E42" s="1282">
        <v>347884.05</v>
      </c>
      <c r="F42" s="1292">
        <f t="shared" si="0"/>
        <v>75.62696739130435</v>
      </c>
    </row>
    <row r="43" spans="1:6" ht="19.5" customHeight="1" hidden="1">
      <c r="A43" s="1286" t="s">
        <v>135</v>
      </c>
      <c r="B43" s="1291" t="s">
        <v>1470</v>
      </c>
      <c r="C43" s="1265" t="s">
        <v>866</v>
      </c>
      <c r="D43" s="1282">
        <v>0</v>
      </c>
      <c r="E43" s="1282">
        <v>0</v>
      </c>
      <c r="F43" s="1292" t="e">
        <f t="shared" si="0"/>
        <v>#DIV/0!</v>
      </c>
    </row>
    <row r="44" spans="1:6" ht="19.5" customHeight="1" hidden="1">
      <c r="A44" s="1286" t="s">
        <v>1022</v>
      </c>
      <c r="B44" s="1291" t="s">
        <v>737</v>
      </c>
      <c r="C44" s="1265" t="s">
        <v>566</v>
      </c>
      <c r="D44" s="1290">
        <v>0</v>
      </c>
      <c r="E44" s="1290">
        <v>0</v>
      </c>
      <c r="F44" s="1292" t="e">
        <f t="shared" si="0"/>
        <v>#DIV/0!</v>
      </c>
    </row>
    <row r="45" spans="1:6" ht="19.5" customHeight="1">
      <c r="A45" s="1747" t="s">
        <v>456</v>
      </c>
      <c r="B45" s="1748"/>
      <c r="C45" s="1749"/>
      <c r="D45" s="1284">
        <f>D46</f>
        <v>150000</v>
      </c>
      <c r="E45" s="1284">
        <f>E46</f>
        <v>0</v>
      </c>
      <c r="F45" s="1293">
        <f t="shared" si="0"/>
        <v>0</v>
      </c>
    </row>
    <row r="46" spans="1:6" ht="33.75" customHeight="1">
      <c r="A46" s="1286" t="s">
        <v>135</v>
      </c>
      <c r="B46" s="1291" t="s">
        <v>455</v>
      </c>
      <c r="C46" s="1265" t="s">
        <v>975</v>
      </c>
      <c r="D46" s="1290">
        <v>150000</v>
      </c>
      <c r="E46" s="1290">
        <v>0</v>
      </c>
      <c r="F46" s="1292">
        <f t="shared" si="0"/>
        <v>0</v>
      </c>
    </row>
    <row r="47" spans="1:7" s="1268" customFormat="1" ht="19.5" customHeight="1">
      <c r="A47" s="1747" t="s">
        <v>1000</v>
      </c>
      <c r="B47" s="1748"/>
      <c r="C47" s="1749"/>
      <c r="D47" s="1278">
        <f>SUM(D48:D54)</f>
        <v>8889000</v>
      </c>
      <c r="E47" s="1278">
        <f>SUM(E48:E54)</f>
        <v>2815032.24</v>
      </c>
      <c r="F47" s="1293">
        <f t="shared" si="0"/>
        <v>31.66871684103949</v>
      </c>
      <c r="G47" s="1267"/>
    </row>
    <row r="48" spans="1:7" s="1306" customFormat="1" ht="30" customHeight="1">
      <c r="A48" s="1286" t="s">
        <v>1021</v>
      </c>
      <c r="B48" s="1291" t="s">
        <v>1001</v>
      </c>
      <c r="C48" s="1304" t="s">
        <v>976</v>
      </c>
      <c r="D48" s="1282">
        <v>80000</v>
      </c>
      <c r="E48" s="1282">
        <v>0</v>
      </c>
      <c r="F48" s="1292">
        <f t="shared" si="0"/>
        <v>0</v>
      </c>
      <c r="G48" s="1305"/>
    </row>
    <row r="49" spans="1:7" s="1306" customFormat="1" ht="31.5" customHeight="1">
      <c r="A49" s="1286" t="s">
        <v>1022</v>
      </c>
      <c r="B49" s="1291" t="s">
        <v>1001</v>
      </c>
      <c r="C49" s="1304" t="s">
        <v>897</v>
      </c>
      <c r="D49" s="1282">
        <v>820000</v>
      </c>
      <c r="E49" s="1282">
        <v>0</v>
      </c>
      <c r="F49" s="1292">
        <f t="shared" si="0"/>
        <v>0</v>
      </c>
      <c r="G49" s="1305"/>
    </row>
    <row r="50" spans="1:7" s="1306" customFormat="1" ht="19.5" customHeight="1">
      <c r="A50" s="1286" t="s">
        <v>1023</v>
      </c>
      <c r="B50" s="1291" t="s">
        <v>1001</v>
      </c>
      <c r="C50" s="1304" t="s">
        <v>977</v>
      </c>
      <c r="D50" s="1282">
        <v>1225000</v>
      </c>
      <c r="E50" s="1282">
        <v>627785.34</v>
      </c>
      <c r="F50" s="1292">
        <f t="shared" si="0"/>
        <v>51.24778285714285</v>
      </c>
      <c r="G50" s="1305"/>
    </row>
    <row r="51" spans="1:6" ht="19.5" customHeight="1">
      <c r="A51" s="1286" t="s">
        <v>1249</v>
      </c>
      <c r="B51" s="1291" t="s">
        <v>1001</v>
      </c>
      <c r="C51" s="1265" t="s">
        <v>868</v>
      </c>
      <c r="D51" s="1282">
        <v>3960000</v>
      </c>
      <c r="E51" s="1282">
        <v>1201698.89</v>
      </c>
      <c r="F51" s="1292">
        <f t="shared" si="0"/>
        <v>30.345931565656564</v>
      </c>
    </row>
    <row r="52" spans="1:6" ht="19.5" customHeight="1">
      <c r="A52" s="1307" t="s">
        <v>1250</v>
      </c>
      <c r="B52" s="1308" t="s">
        <v>55</v>
      </c>
      <c r="C52" s="1309" t="s">
        <v>380</v>
      </c>
      <c r="D52" s="1310">
        <v>250000</v>
      </c>
      <c r="E52" s="1310">
        <v>0</v>
      </c>
      <c r="F52" s="1279">
        <f t="shared" si="0"/>
        <v>0</v>
      </c>
    </row>
    <row r="53" spans="1:7" s="1306" customFormat="1" ht="19.5" customHeight="1">
      <c r="A53" s="1286" t="s">
        <v>1045</v>
      </c>
      <c r="B53" s="1291" t="s">
        <v>57</v>
      </c>
      <c r="C53" s="1304" t="s">
        <v>381</v>
      </c>
      <c r="D53" s="1282">
        <v>150000</v>
      </c>
      <c r="E53" s="1282">
        <v>0</v>
      </c>
      <c r="F53" s="1292">
        <f>E53/D53*100</f>
        <v>0</v>
      </c>
      <c r="G53" s="1305"/>
    </row>
    <row r="54" spans="1:7" s="1306" customFormat="1" ht="19.5" customHeight="1">
      <c r="A54" s="1286" t="s">
        <v>1476</v>
      </c>
      <c r="B54" s="1291" t="s">
        <v>57</v>
      </c>
      <c r="C54" s="1304" t="s">
        <v>875</v>
      </c>
      <c r="D54" s="1282">
        <v>2404000</v>
      </c>
      <c r="E54" s="1290">
        <v>985548.01</v>
      </c>
      <c r="F54" s="1292">
        <f>E54/D54*100</f>
        <v>40.996173460898504</v>
      </c>
      <c r="G54" s="1305"/>
    </row>
    <row r="55" spans="1:7" s="1268" customFormat="1" ht="19.5" customHeight="1">
      <c r="A55" s="1752" t="s">
        <v>567</v>
      </c>
      <c r="B55" s="1753"/>
      <c r="C55" s="1754"/>
      <c r="D55" s="1284">
        <f>SUM(D56,D57,D58)</f>
        <v>2573000</v>
      </c>
      <c r="E55" s="1284">
        <f>SUM(E56,E57,E58)</f>
        <v>1814312.51</v>
      </c>
      <c r="F55" s="1285">
        <f t="shared" si="0"/>
        <v>70.51350602409639</v>
      </c>
      <c r="G55" s="1267"/>
    </row>
    <row r="56" spans="1:6" ht="19.5" customHeight="1">
      <c r="A56" s="1286" t="s">
        <v>1246</v>
      </c>
      <c r="B56" s="1291" t="s">
        <v>94</v>
      </c>
      <c r="C56" s="1265" t="s">
        <v>1047</v>
      </c>
      <c r="D56" s="1282">
        <v>2500000</v>
      </c>
      <c r="E56" s="1282">
        <v>1814312.51</v>
      </c>
      <c r="F56" s="1279">
        <f t="shared" si="0"/>
        <v>72.5725004</v>
      </c>
    </row>
    <row r="57" spans="1:6" ht="19.5" customHeight="1">
      <c r="A57" s="1286" t="s">
        <v>1278</v>
      </c>
      <c r="B57" s="1291" t="s">
        <v>94</v>
      </c>
      <c r="C57" s="1265" t="s">
        <v>978</v>
      </c>
      <c r="D57" s="1282">
        <v>73000</v>
      </c>
      <c r="E57" s="1282">
        <v>0</v>
      </c>
      <c r="F57" s="1279">
        <f t="shared" si="0"/>
        <v>0</v>
      </c>
    </row>
    <row r="58" spans="1:6" ht="19.5" customHeight="1" hidden="1">
      <c r="A58" s="1286"/>
      <c r="B58" s="1291"/>
      <c r="C58" s="1265"/>
      <c r="D58" s="1282">
        <v>0</v>
      </c>
      <c r="E58" s="1282">
        <v>0</v>
      </c>
      <c r="F58" s="1292" t="e">
        <f t="shared" si="0"/>
        <v>#DIV/0!</v>
      </c>
    </row>
    <row r="59" spans="1:7" s="1268" customFormat="1" ht="19.5" customHeight="1" thickBot="1">
      <c r="A59" s="1755" t="s">
        <v>19</v>
      </c>
      <c r="B59" s="1756"/>
      <c r="C59" s="1757"/>
      <c r="D59" s="1311">
        <f>SUM(D6,D8,D21,D24,D27,D29,D31,D39,D45,D47,D55)</f>
        <v>38337597</v>
      </c>
      <c r="E59" s="1311">
        <f>SUM(E6,E8,E21,E24,E29,E31,E39,E45,E47,E55)</f>
        <v>12340557.67</v>
      </c>
      <c r="F59" s="1312">
        <f t="shared" si="0"/>
        <v>32.18917886272319</v>
      </c>
      <c r="G59" s="1267"/>
    </row>
    <row r="60" spans="1:7" s="1297" customFormat="1" ht="13.5" customHeight="1">
      <c r="A60" s="1294"/>
      <c r="B60" s="1294"/>
      <c r="C60" s="1295"/>
      <c r="D60" s="1300"/>
      <c r="E60" s="1300"/>
      <c r="F60" s="1301"/>
      <c r="G60" s="1296"/>
    </row>
    <row r="61" spans="1:7" s="1297" customFormat="1" ht="13.5" customHeight="1" hidden="1">
      <c r="A61" s="1296"/>
      <c r="B61" s="1296"/>
      <c r="C61" s="1313" t="s">
        <v>867</v>
      </c>
      <c r="D61" s="1299">
        <v>38337597</v>
      </c>
      <c r="E61" s="1299">
        <v>12340557.67</v>
      </c>
      <c r="F61" s="1301"/>
      <c r="G61" s="1296"/>
    </row>
    <row r="62" spans="1:7" s="1297" customFormat="1" ht="22.5" customHeight="1" hidden="1">
      <c r="A62" s="1296"/>
      <c r="B62" s="1296"/>
      <c r="C62" s="1313" t="s">
        <v>625</v>
      </c>
      <c r="D62" s="1300">
        <f>D59-D61</f>
        <v>0</v>
      </c>
      <c r="E62" s="1300">
        <f>E59-E61</f>
        <v>0</v>
      </c>
      <c r="F62" s="1301"/>
      <c r="G62" s="1296"/>
    </row>
    <row r="63" ht="9.75" customHeight="1"/>
  </sheetData>
  <sheetProtection password="CF53" sheet="1" formatCells="0" formatColumns="0" formatRows="0" insertColumns="0" insertRows="0" insertHyperlinks="0" deleteColumns="0" deleteRows="0" sort="0" autoFilter="0" pivotTables="0"/>
  <mergeCells count="14">
    <mergeCell ref="A59:C59"/>
    <mergeCell ref="A29:C29"/>
    <mergeCell ref="A31:C31"/>
    <mergeCell ref="A39:C39"/>
    <mergeCell ref="A45:C45"/>
    <mergeCell ref="A47:C47"/>
    <mergeCell ref="A55:C55"/>
    <mergeCell ref="A27:C27"/>
    <mergeCell ref="E1:F1"/>
    <mergeCell ref="A2:F2"/>
    <mergeCell ref="A6:C6"/>
    <mergeCell ref="A8:C8"/>
    <mergeCell ref="A21:C21"/>
    <mergeCell ref="A24:C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rowBreaks count="1" manualBreakCount="1">
    <brk id="23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K36"/>
  <sheetViews>
    <sheetView view="pageBreakPreview" zoomScaleSheetLayoutView="100" zoomScalePageLayoutView="0" workbookViewId="0" topLeftCell="A1">
      <pane ySplit="7" topLeftCell="A27" activePane="bottomLeft" state="frozen"/>
      <selection pane="topLeft" activeCell="I244" sqref="I244"/>
      <selection pane="bottomLeft" activeCell="H32" sqref="H32"/>
    </sheetView>
  </sheetViews>
  <sheetFormatPr defaultColWidth="9.00390625" defaultRowHeight="12.75"/>
  <cols>
    <col min="1" max="1" width="5.625" style="130" customWidth="1"/>
    <col min="2" max="2" width="7.75390625" style="130" customWidth="1"/>
    <col min="3" max="3" width="34.00390625" style="131" customWidth="1"/>
    <col min="4" max="4" width="14.625" style="131" customWidth="1"/>
    <col min="5" max="6" width="12.25390625" style="131" customWidth="1"/>
    <col min="7" max="7" width="12.125" style="131" customWidth="1"/>
    <col min="8" max="8" width="12.25390625" style="131" customWidth="1"/>
    <col min="9" max="9" width="14.625" style="131" customWidth="1"/>
    <col min="10" max="10" width="10.375" style="131" hidden="1" customWidth="1"/>
    <col min="11" max="11" width="9.00390625" style="131" hidden="1" customWidth="1"/>
    <col min="12" max="16384" width="9.125" style="131" customWidth="1"/>
  </cols>
  <sheetData>
    <row r="1" spans="1:9" s="1030" customFormat="1" ht="12.75">
      <c r="A1" s="1029"/>
      <c r="B1" s="1029"/>
      <c r="H1" s="176"/>
      <c r="I1" s="176" t="s">
        <v>1192</v>
      </c>
    </row>
    <row r="2" spans="1:8" s="1030" customFormat="1" ht="12.75" customHeight="1">
      <c r="A2" s="1029"/>
      <c r="B2" s="1029"/>
      <c r="H2" s="176"/>
    </row>
    <row r="3" spans="1:9" s="174" customFormat="1" ht="21" customHeight="1">
      <c r="A3" s="1758" t="s">
        <v>1194</v>
      </c>
      <c r="B3" s="1758"/>
      <c r="C3" s="1758"/>
      <c r="D3" s="1758"/>
      <c r="E3" s="1758"/>
      <c r="F3" s="1758"/>
      <c r="G3" s="1758"/>
      <c r="H3" s="1758"/>
      <c r="I3" s="1758"/>
    </row>
    <row r="4" spans="1:10" s="1030" customFormat="1" ht="19.5" customHeight="1" thickBot="1">
      <c r="A4" s="1029"/>
      <c r="B4" s="1029"/>
      <c r="H4" s="178"/>
      <c r="I4" s="178" t="s">
        <v>1351</v>
      </c>
      <c r="J4" s="178"/>
    </row>
    <row r="5" spans="1:9" s="1000" customFormat="1" ht="17.25" customHeight="1">
      <c r="A5" s="1667" t="s">
        <v>97</v>
      </c>
      <c r="B5" s="1761" t="s">
        <v>1352</v>
      </c>
      <c r="C5" s="1665" t="s">
        <v>1341</v>
      </c>
      <c r="D5" s="1592" t="s">
        <v>500</v>
      </c>
      <c r="E5" s="1664" t="s">
        <v>192</v>
      </c>
      <c r="F5" s="1664"/>
      <c r="G5" s="1664" t="s">
        <v>161</v>
      </c>
      <c r="H5" s="1686"/>
      <c r="I5" s="1687" t="s">
        <v>501</v>
      </c>
    </row>
    <row r="6" spans="1:9" s="1000" customFormat="1" ht="39.75" customHeight="1">
      <c r="A6" s="1668"/>
      <c r="B6" s="1762"/>
      <c r="C6" s="1685"/>
      <c r="D6" s="1593"/>
      <c r="E6" s="966" t="s">
        <v>1354</v>
      </c>
      <c r="F6" s="180" t="s">
        <v>1355</v>
      </c>
      <c r="G6" s="966" t="s">
        <v>1354</v>
      </c>
      <c r="H6" s="1007" t="s">
        <v>1355</v>
      </c>
      <c r="I6" s="1765"/>
    </row>
    <row r="7" spans="1:11" s="1035" customFormat="1" ht="12.75" customHeight="1">
      <c r="A7" s="926" t="s">
        <v>1271</v>
      </c>
      <c r="B7" s="1031" t="s">
        <v>463</v>
      </c>
      <c r="C7" s="1032">
        <v>3</v>
      </c>
      <c r="D7" s="1032">
        <v>4</v>
      </c>
      <c r="E7" s="1032">
        <v>5</v>
      </c>
      <c r="F7" s="1033">
        <v>6</v>
      </c>
      <c r="G7" s="1033">
        <v>7</v>
      </c>
      <c r="H7" s="1032">
        <v>8</v>
      </c>
      <c r="I7" s="1034">
        <v>9</v>
      </c>
      <c r="K7" s="1035" t="s">
        <v>625</v>
      </c>
    </row>
    <row r="8" spans="1:11" s="1037" customFormat="1" ht="18.75" customHeight="1">
      <c r="A8" s="1763" t="s">
        <v>1441</v>
      </c>
      <c r="B8" s="1764"/>
      <c r="C8" s="1764"/>
      <c r="D8" s="1036">
        <f aca="true" t="shared" si="0" ref="D8:I8">SUM(D9,D15,D22,D26)</f>
        <v>0</v>
      </c>
      <c r="E8" s="1036">
        <f t="shared" si="0"/>
        <v>2692733</v>
      </c>
      <c r="F8" s="1036">
        <f t="shared" si="0"/>
        <v>1260620.57</v>
      </c>
      <c r="G8" s="1036">
        <f t="shared" si="0"/>
        <v>2692733</v>
      </c>
      <c r="H8" s="1036">
        <f t="shared" si="0"/>
        <v>1134328.7000000002</v>
      </c>
      <c r="I8" s="1452">
        <f t="shared" si="0"/>
        <v>126291.87</v>
      </c>
      <c r="J8" s="232">
        <f>D8+F8-H8</f>
        <v>126291.86999999988</v>
      </c>
      <c r="K8" s="232">
        <f aca="true" t="shared" si="1" ref="K8:K25">I8-J8</f>
        <v>1.1641532182693481E-10</v>
      </c>
    </row>
    <row r="9" spans="1:11" s="233" customFormat="1" ht="24.75" customHeight="1">
      <c r="A9" s="1038" t="s">
        <v>1459</v>
      </c>
      <c r="B9" s="1039" t="s">
        <v>1461</v>
      </c>
      <c r="C9" s="1040" t="s">
        <v>1462</v>
      </c>
      <c r="D9" s="1041">
        <f aca="true" t="shared" si="2" ref="D9:I9">SUM(D10,D11,D12,D13,D14)</f>
        <v>0</v>
      </c>
      <c r="E9" s="1041">
        <f t="shared" si="2"/>
        <v>921318</v>
      </c>
      <c r="F9" s="1041">
        <f t="shared" si="2"/>
        <v>518407.91000000003</v>
      </c>
      <c r="G9" s="1041">
        <f t="shared" si="2"/>
        <v>921318</v>
      </c>
      <c r="H9" s="1041">
        <f t="shared" si="2"/>
        <v>450791.64</v>
      </c>
      <c r="I9" s="1042">
        <f t="shared" si="2"/>
        <v>67616.27000000002</v>
      </c>
      <c r="J9" s="232">
        <f>D9+F9-H9</f>
        <v>67616.27000000002</v>
      </c>
      <c r="K9" s="232">
        <f t="shared" si="1"/>
        <v>0</v>
      </c>
    </row>
    <row r="10" spans="1:11" s="221" customFormat="1" ht="24.75" customHeight="1">
      <c r="A10" s="1043" t="s">
        <v>1459</v>
      </c>
      <c r="B10" s="1044" t="s">
        <v>1461</v>
      </c>
      <c r="C10" s="1045" t="s">
        <v>1214</v>
      </c>
      <c r="D10" s="1046">
        <v>0</v>
      </c>
      <c r="E10" s="1046">
        <v>169100</v>
      </c>
      <c r="F10" s="1046">
        <v>106139.57</v>
      </c>
      <c r="G10" s="1046">
        <v>169100</v>
      </c>
      <c r="H10" s="1047">
        <v>65559.77</v>
      </c>
      <c r="I10" s="1048">
        <f>D10+F10-H10</f>
        <v>40579.8</v>
      </c>
      <c r="J10" s="1049">
        <f aca="true" t="shared" si="3" ref="J10:J25">D10+F10-H10</f>
        <v>40579.8</v>
      </c>
      <c r="K10" s="206">
        <f t="shared" si="1"/>
        <v>0</v>
      </c>
    </row>
    <row r="11" spans="1:11" s="221" customFormat="1" ht="24.75" customHeight="1">
      <c r="A11" s="1043" t="s">
        <v>1459</v>
      </c>
      <c r="B11" s="1044" t="s">
        <v>1461</v>
      </c>
      <c r="C11" s="1045" t="s">
        <v>1215</v>
      </c>
      <c r="D11" s="1046">
        <v>0</v>
      </c>
      <c r="E11" s="1046">
        <v>104000</v>
      </c>
      <c r="F11" s="1046">
        <v>70184.69</v>
      </c>
      <c r="G11" s="1046">
        <v>104000</v>
      </c>
      <c r="H11" s="1047">
        <v>65360.15</v>
      </c>
      <c r="I11" s="1048">
        <f>D11+F11-H11</f>
        <v>4824.540000000001</v>
      </c>
      <c r="J11" s="1049">
        <f t="shared" si="3"/>
        <v>4824.540000000001</v>
      </c>
      <c r="K11" s="206">
        <f t="shared" si="1"/>
        <v>0</v>
      </c>
    </row>
    <row r="12" spans="1:11" s="221" customFormat="1" ht="27" customHeight="1">
      <c r="A12" s="1043" t="s">
        <v>1459</v>
      </c>
      <c r="B12" s="1044" t="s">
        <v>1461</v>
      </c>
      <c r="C12" s="1045" t="s">
        <v>663</v>
      </c>
      <c r="D12" s="1046">
        <v>0</v>
      </c>
      <c r="E12" s="1046">
        <v>351968</v>
      </c>
      <c r="F12" s="1046">
        <v>175622.32</v>
      </c>
      <c r="G12" s="1046">
        <v>351968</v>
      </c>
      <c r="H12" s="1047">
        <v>168920.19</v>
      </c>
      <c r="I12" s="1048">
        <f>D12+F12-H12</f>
        <v>6702.130000000005</v>
      </c>
      <c r="J12" s="1049">
        <f t="shared" si="3"/>
        <v>6702.130000000005</v>
      </c>
      <c r="K12" s="206">
        <f t="shared" si="1"/>
        <v>0</v>
      </c>
    </row>
    <row r="13" spans="1:11" s="221" customFormat="1" ht="24.75" customHeight="1">
      <c r="A13" s="1050" t="s">
        <v>1459</v>
      </c>
      <c r="B13" s="1051" t="s">
        <v>1461</v>
      </c>
      <c r="C13" s="1052" t="s">
        <v>1216</v>
      </c>
      <c r="D13" s="1053">
        <v>0</v>
      </c>
      <c r="E13" s="1053">
        <v>150240</v>
      </c>
      <c r="F13" s="1053">
        <v>92695.89</v>
      </c>
      <c r="G13" s="1053">
        <v>150240</v>
      </c>
      <c r="H13" s="1054">
        <v>79909.37</v>
      </c>
      <c r="I13" s="1048">
        <f>D13+F13-H13</f>
        <v>12786.520000000004</v>
      </c>
      <c r="J13" s="1049">
        <f t="shared" si="3"/>
        <v>12786.520000000004</v>
      </c>
      <c r="K13" s="206">
        <f t="shared" si="1"/>
        <v>0</v>
      </c>
    </row>
    <row r="14" spans="1:11" s="221" customFormat="1" ht="24.75" customHeight="1">
      <c r="A14" s="794" t="s">
        <v>1459</v>
      </c>
      <c r="B14" s="795" t="s">
        <v>1461</v>
      </c>
      <c r="C14" s="1055" t="s">
        <v>580</v>
      </c>
      <c r="D14" s="1056">
        <v>0</v>
      </c>
      <c r="E14" s="1056">
        <v>146010</v>
      </c>
      <c r="F14" s="1056">
        <v>73765.44</v>
      </c>
      <c r="G14" s="1056">
        <v>146010</v>
      </c>
      <c r="H14" s="1057">
        <v>71042.16</v>
      </c>
      <c r="I14" s="1048">
        <f>D14+F14-H14</f>
        <v>2723.279999999999</v>
      </c>
      <c r="J14" s="1049">
        <f t="shared" si="3"/>
        <v>2723.279999999999</v>
      </c>
      <c r="K14" s="206">
        <f t="shared" si="1"/>
        <v>0</v>
      </c>
    </row>
    <row r="15" spans="1:11" s="174" customFormat="1" ht="24.75" customHeight="1">
      <c r="A15" s="1058" t="s">
        <v>1459</v>
      </c>
      <c r="B15" s="1059" t="s">
        <v>709</v>
      </c>
      <c r="C15" s="1060" t="s">
        <v>710</v>
      </c>
      <c r="D15" s="1061">
        <f aca="true" t="shared" si="4" ref="D15:I15">SUM(D16:D21)</f>
        <v>0</v>
      </c>
      <c r="E15" s="1061">
        <f t="shared" si="4"/>
        <v>840155</v>
      </c>
      <c r="F15" s="1061">
        <f t="shared" si="4"/>
        <v>440590.68</v>
      </c>
      <c r="G15" s="1061">
        <f t="shared" si="4"/>
        <v>840155</v>
      </c>
      <c r="H15" s="1061">
        <f t="shared" si="4"/>
        <v>409852.1000000001</v>
      </c>
      <c r="I15" s="1062">
        <f t="shared" si="4"/>
        <v>30738.579999999994</v>
      </c>
      <c r="J15" s="206">
        <f aca="true" t="shared" si="5" ref="J15:J21">D15+F15-H15</f>
        <v>30738.5799999999</v>
      </c>
      <c r="K15" s="206">
        <f aca="true" t="shared" si="6" ref="K15:K21">I15-J15</f>
        <v>9.458744898438454E-11</v>
      </c>
    </row>
    <row r="16" spans="1:11" s="221" customFormat="1" ht="24.75" customHeight="1">
      <c r="A16" s="1043" t="s">
        <v>1459</v>
      </c>
      <c r="B16" s="1044" t="s">
        <v>709</v>
      </c>
      <c r="C16" s="1045" t="s">
        <v>478</v>
      </c>
      <c r="D16" s="1046">
        <v>0</v>
      </c>
      <c r="E16" s="1046">
        <v>201600</v>
      </c>
      <c r="F16" s="1046">
        <v>115639.62</v>
      </c>
      <c r="G16" s="1046">
        <v>201600</v>
      </c>
      <c r="H16" s="1047">
        <v>113640.07</v>
      </c>
      <c r="I16" s="1048">
        <f aca="true" t="shared" si="7" ref="I16:I21">D16+F16-H16</f>
        <v>1999.5499999999884</v>
      </c>
      <c r="J16" s="1049">
        <f t="shared" si="5"/>
        <v>1999.5499999999884</v>
      </c>
      <c r="K16" s="206">
        <f t="shared" si="6"/>
        <v>0</v>
      </c>
    </row>
    <row r="17" spans="1:11" s="221" customFormat="1" ht="24.75" customHeight="1">
      <c r="A17" s="1043" t="s">
        <v>1459</v>
      </c>
      <c r="B17" s="1044" t="s">
        <v>709</v>
      </c>
      <c r="C17" s="1045" t="s">
        <v>479</v>
      </c>
      <c r="D17" s="1046">
        <v>0</v>
      </c>
      <c r="E17" s="1046">
        <v>161730</v>
      </c>
      <c r="F17" s="1046">
        <v>90040.99</v>
      </c>
      <c r="G17" s="1046">
        <v>161730</v>
      </c>
      <c r="H17" s="1047">
        <v>84667.88</v>
      </c>
      <c r="I17" s="1048">
        <f t="shared" si="7"/>
        <v>5373.110000000001</v>
      </c>
      <c r="J17" s="1049">
        <f t="shared" si="5"/>
        <v>5373.110000000001</v>
      </c>
      <c r="K17" s="206">
        <f t="shared" si="6"/>
        <v>0</v>
      </c>
    </row>
    <row r="18" spans="1:11" s="221" customFormat="1" ht="24.75" customHeight="1">
      <c r="A18" s="1043" t="s">
        <v>1459</v>
      </c>
      <c r="B18" s="1044" t="s">
        <v>709</v>
      </c>
      <c r="C18" s="1045" t="s">
        <v>480</v>
      </c>
      <c r="D18" s="1046">
        <v>0</v>
      </c>
      <c r="E18" s="1046">
        <v>82935</v>
      </c>
      <c r="F18" s="1046">
        <v>51053</v>
      </c>
      <c r="G18" s="1046">
        <v>82935</v>
      </c>
      <c r="H18" s="1047">
        <v>42702.95</v>
      </c>
      <c r="I18" s="1048">
        <f t="shared" si="7"/>
        <v>8350.050000000003</v>
      </c>
      <c r="J18" s="1049">
        <f t="shared" si="5"/>
        <v>8350.050000000003</v>
      </c>
      <c r="K18" s="206">
        <f t="shared" si="6"/>
        <v>0</v>
      </c>
    </row>
    <row r="19" spans="1:11" s="221" customFormat="1" ht="24.75" customHeight="1">
      <c r="A19" s="1043" t="s">
        <v>1459</v>
      </c>
      <c r="B19" s="1044" t="s">
        <v>709</v>
      </c>
      <c r="C19" s="1045" t="s">
        <v>481</v>
      </c>
      <c r="D19" s="1046">
        <v>0</v>
      </c>
      <c r="E19" s="1046">
        <v>160800</v>
      </c>
      <c r="F19" s="1046">
        <v>53084.19</v>
      </c>
      <c r="G19" s="1046">
        <v>160800</v>
      </c>
      <c r="H19" s="1047">
        <v>41264.28</v>
      </c>
      <c r="I19" s="1048">
        <f t="shared" si="7"/>
        <v>11819.910000000003</v>
      </c>
      <c r="J19" s="1049">
        <f t="shared" si="5"/>
        <v>11819.910000000003</v>
      </c>
      <c r="K19" s="206">
        <f t="shared" si="6"/>
        <v>0</v>
      </c>
    </row>
    <row r="20" spans="1:11" s="221" customFormat="1" ht="24.75" customHeight="1">
      <c r="A20" s="1043" t="s">
        <v>1459</v>
      </c>
      <c r="B20" s="1044" t="s">
        <v>709</v>
      </c>
      <c r="C20" s="1045" t="s">
        <v>482</v>
      </c>
      <c r="D20" s="1046">
        <v>0</v>
      </c>
      <c r="E20" s="1046">
        <v>147864</v>
      </c>
      <c r="F20" s="1046">
        <v>82942.57</v>
      </c>
      <c r="G20" s="1046">
        <v>147864</v>
      </c>
      <c r="H20" s="1047">
        <v>79901.66</v>
      </c>
      <c r="I20" s="1048">
        <f t="shared" si="7"/>
        <v>3040.9100000000035</v>
      </c>
      <c r="J20" s="1049">
        <f t="shared" si="5"/>
        <v>3040.9100000000035</v>
      </c>
      <c r="K20" s="206">
        <f t="shared" si="6"/>
        <v>0</v>
      </c>
    </row>
    <row r="21" spans="1:11" s="221" customFormat="1" ht="24.75" customHeight="1">
      <c r="A21" s="1043" t="s">
        <v>1459</v>
      </c>
      <c r="B21" s="1044" t="s">
        <v>709</v>
      </c>
      <c r="C21" s="1045" t="s">
        <v>483</v>
      </c>
      <c r="D21" s="1046">
        <v>0</v>
      </c>
      <c r="E21" s="1046">
        <v>85226</v>
      </c>
      <c r="F21" s="1046">
        <v>47830.31</v>
      </c>
      <c r="G21" s="1046">
        <v>85226</v>
      </c>
      <c r="H21" s="1047">
        <v>47675.26</v>
      </c>
      <c r="I21" s="1048">
        <f t="shared" si="7"/>
        <v>155.04999999999563</v>
      </c>
      <c r="J21" s="1049">
        <f t="shared" si="5"/>
        <v>155.04999999999563</v>
      </c>
      <c r="K21" s="206">
        <f t="shared" si="6"/>
        <v>0</v>
      </c>
    </row>
    <row r="22" spans="1:11" s="174" customFormat="1" ht="24.75" customHeight="1">
      <c r="A22" s="1058" t="s">
        <v>1459</v>
      </c>
      <c r="B22" s="1059" t="s">
        <v>1463</v>
      </c>
      <c r="C22" s="1060" t="s">
        <v>1464</v>
      </c>
      <c r="D22" s="1061">
        <f aca="true" t="shared" si="8" ref="D22:I22">SUM(D23,D24,D25)</f>
        <v>0</v>
      </c>
      <c r="E22" s="1061">
        <f t="shared" si="8"/>
        <v>931260</v>
      </c>
      <c r="F22" s="1061">
        <f t="shared" si="8"/>
        <v>301621.98</v>
      </c>
      <c r="G22" s="1061">
        <f t="shared" si="8"/>
        <v>931260</v>
      </c>
      <c r="H22" s="1061">
        <f t="shared" si="8"/>
        <v>273684.95999999996</v>
      </c>
      <c r="I22" s="1062">
        <f t="shared" si="8"/>
        <v>27937.019999999993</v>
      </c>
      <c r="J22" s="206">
        <f t="shared" si="3"/>
        <v>27937.02000000002</v>
      </c>
      <c r="K22" s="206">
        <f t="shared" si="1"/>
        <v>0</v>
      </c>
    </row>
    <row r="23" spans="1:11" s="221" customFormat="1" ht="24.75" customHeight="1">
      <c r="A23" s="1043" t="s">
        <v>1459</v>
      </c>
      <c r="B23" s="1044" t="s">
        <v>1463</v>
      </c>
      <c r="C23" s="1045" t="s">
        <v>1076</v>
      </c>
      <c r="D23" s="1046">
        <v>0</v>
      </c>
      <c r="E23" s="1046">
        <v>760000</v>
      </c>
      <c r="F23" s="1046">
        <v>237700.87</v>
      </c>
      <c r="G23" s="1046">
        <v>760000</v>
      </c>
      <c r="H23" s="1047">
        <v>225786.87</v>
      </c>
      <c r="I23" s="1048">
        <f>D23+F23-H23</f>
        <v>11914</v>
      </c>
      <c r="J23" s="1049">
        <f t="shared" si="3"/>
        <v>11914</v>
      </c>
      <c r="K23" s="206">
        <f t="shared" si="1"/>
        <v>0</v>
      </c>
    </row>
    <row r="24" spans="1:11" s="221" customFormat="1" ht="24.75" customHeight="1">
      <c r="A24" s="1043" t="s">
        <v>1459</v>
      </c>
      <c r="B24" s="1044" t="s">
        <v>1463</v>
      </c>
      <c r="C24" s="1045" t="s">
        <v>1219</v>
      </c>
      <c r="D24" s="1046">
        <v>0</v>
      </c>
      <c r="E24" s="1046">
        <v>141250</v>
      </c>
      <c r="F24" s="1046">
        <v>48287.06</v>
      </c>
      <c r="G24" s="1046">
        <v>141250</v>
      </c>
      <c r="H24" s="1047">
        <v>42525.62</v>
      </c>
      <c r="I24" s="1048">
        <f>D24+F24-H24</f>
        <v>5761.439999999995</v>
      </c>
      <c r="J24" s="1049">
        <f t="shared" si="3"/>
        <v>5761.439999999995</v>
      </c>
      <c r="K24" s="206">
        <f t="shared" si="1"/>
        <v>0</v>
      </c>
    </row>
    <row r="25" spans="1:11" s="221" customFormat="1" ht="24.75" customHeight="1">
      <c r="A25" s="794" t="s">
        <v>1459</v>
      </c>
      <c r="B25" s="795" t="s">
        <v>1463</v>
      </c>
      <c r="C25" s="1055" t="s">
        <v>1220</v>
      </c>
      <c r="D25" s="1056">
        <v>0</v>
      </c>
      <c r="E25" s="1056">
        <v>30010</v>
      </c>
      <c r="F25" s="1056">
        <v>15634.05</v>
      </c>
      <c r="G25" s="1056">
        <v>30010</v>
      </c>
      <c r="H25" s="1057">
        <v>5372.47</v>
      </c>
      <c r="I25" s="1048">
        <f>D25+F25-H25</f>
        <v>10261.579999999998</v>
      </c>
      <c r="J25" s="1049">
        <f t="shared" si="3"/>
        <v>10261.579999999998</v>
      </c>
      <c r="K25" s="206">
        <f t="shared" si="1"/>
        <v>0</v>
      </c>
    </row>
    <row r="26" spans="1:11" s="174" customFormat="1" ht="24.75" customHeight="1" hidden="1">
      <c r="A26" s="918" t="s">
        <v>1482</v>
      </c>
      <c r="B26" s="1063" t="s">
        <v>47</v>
      </c>
      <c r="C26" s="1064" t="s">
        <v>504</v>
      </c>
      <c r="D26" s="921">
        <v>0</v>
      </c>
      <c r="E26" s="921">
        <v>0</v>
      </c>
      <c r="F26" s="921">
        <v>0</v>
      </c>
      <c r="G26" s="921">
        <v>0</v>
      </c>
      <c r="H26" s="1065">
        <v>0</v>
      </c>
      <c r="I26" s="988">
        <f>D26+F26-H26</f>
        <v>0</v>
      </c>
      <c r="J26" s="206">
        <f>D26+F26-H26</f>
        <v>0</v>
      </c>
      <c r="K26" s="206">
        <f>I26-J26</f>
        <v>0</v>
      </c>
    </row>
    <row r="27" spans="1:11" s="173" customFormat="1" ht="21" customHeight="1">
      <c r="A27" s="1612" t="s">
        <v>1318</v>
      </c>
      <c r="B27" s="1613"/>
      <c r="C27" s="1614"/>
      <c r="D27" s="1066">
        <f aca="true" t="shared" si="9" ref="D27:I27">SUM(D28,D29,D32,D33,D34)</f>
        <v>587.18</v>
      </c>
      <c r="E27" s="1066">
        <f t="shared" si="9"/>
        <v>1610227</v>
      </c>
      <c r="F27" s="1066">
        <f t="shared" si="9"/>
        <v>581302.16</v>
      </c>
      <c r="G27" s="1066">
        <f t="shared" si="9"/>
        <v>1610227</v>
      </c>
      <c r="H27" s="1066">
        <f t="shared" si="9"/>
        <v>495783.27</v>
      </c>
      <c r="I27" s="1067">
        <f t="shared" si="9"/>
        <v>86106.06999999998</v>
      </c>
      <c r="J27" s="206">
        <f>D27+F27-H27</f>
        <v>86106.07000000007</v>
      </c>
      <c r="K27" s="206">
        <f>I27-J27</f>
        <v>0</v>
      </c>
    </row>
    <row r="28" spans="1:11" s="174" customFormat="1" ht="26.25" customHeight="1">
      <c r="A28" s="918" t="s">
        <v>1459</v>
      </c>
      <c r="B28" s="1063" t="s">
        <v>1465</v>
      </c>
      <c r="C28" s="1064" t="s">
        <v>1342</v>
      </c>
      <c r="D28" s="921">
        <v>587.18</v>
      </c>
      <c r="E28" s="921">
        <v>152005</v>
      </c>
      <c r="F28" s="921">
        <v>93453.14</v>
      </c>
      <c r="G28" s="921">
        <v>152005</v>
      </c>
      <c r="H28" s="1065">
        <v>57560.22</v>
      </c>
      <c r="I28" s="988">
        <f>D28+F28-H28</f>
        <v>36480.09999999999</v>
      </c>
      <c r="J28" s="206">
        <f>D28+F28-H28</f>
        <v>36480.09999999999</v>
      </c>
      <c r="K28" s="206">
        <f>I28-J28</f>
        <v>0</v>
      </c>
    </row>
    <row r="29" spans="1:11" s="174" customFormat="1" ht="24.75" customHeight="1">
      <c r="A29" s="1058" t="s">
        <v>1459</v>
      </c>
      <c r="B29" s="1059" t="s">
        <v>1466</v>
      </c>
      <c r="C29" s="1060" t="s">
        <v>1467</v>
      </c>
      <c r="D29" s="1061">
        <f aca="true" t="shared" si="10" ref="D29:I29">SUM(D30,D31)</f>
        <v>0</v>
      </c>
      <c r="E29" s="1061">
        <f t="shared" si="10"/>
        <v>404600</v>
      </c>
      <c r="F29" s="1061">
        <f t="shared" si="10"/>
        <v>160796.38</v>
      </c>
      <c r="G29" s="1061">
        <f t="shared" si="10"/>
        <v>404600</v>
      </c>
      <c r="H29" s="1061">
        <f t="shared" si="10"/>
        <v>135280.91</v>
      </c>
      <c r="I29" s="1062">
        <f t="shared" si="10"/>
        <v>25515.47000000001</v>
      </c>
      <c r="J29" s="206">
        <f aca="true" t="shared" si="11" ref="J29:J35">D29+F29-H29</f>
        <v>25515.47</v>
      </c>
      <c r="K29" s="206">
        <f aca="true" t="shared" si="12" ref="K29:K35">I29-J29</f>
        <v>0</v>
      </c>
    </row>
    <row r="30" spans="1:11" s="221" customFormat="1" ht="24.75" customHeight="1">
      <c r="A30" s="1043" t="s">
        <v>1459</v>
      </c>
      <c r="B30" s="1044" t="s">
        <v>1466</v>
      </c>
      <c r="C30" s="1045" t="s">
        <v>1222</v>
      </c>
      <c r="D30" s="1046">
        <v>0</v>
      </c>
      <c r="E30" s="1046">
        <v>68600</v>
      </c>
      <c r="F30" s="1046">
        <v>51077.39</v>
      </c>
      <c r="G30" s="1046">
        <v>68600</v>
      </c>
      <c r="H30" s="1047">
        <v>38776.4</v>
      </c>
      <c r="I30" s="1048">
        <f>D30+F30-H30</f>
        <v>12300.989999999998</v>
      </c>
      <c r="J30" s="1049">
        <f t="shared" si="11"/>
        <v>12300.989999999998</v>
      </c>
      <c r="K30" s="1049">
        <f t="shared" si="12"/>
        <v>0</v>
      </c>
    </row>
    <row r="31" spans="1:11" s="221" customFormat="1" ht="24.75" customHeight="1">
      <c r="A31" s="794" t="s">
        <v>1459</v>
      </c>
      <c r="B31" s="795" t="s">
        <v>1466</v>
      </c>
      <c r="C31" s="1055" t="s">
        <v>1077</v>
      </c>
      <c r="D31" s="1056">
        <v>0</v>
      </c>
      <c r="E31" s="1056">
        <v>336000</v>
      </c>
      <c r="F31" s="1056">
        <v>109718.99</v>
      </c>
      <c r="G31" s="1056">
        <v>336000</v>
      </c>
      <c r="H31" s="1057">
        <v>96504.51</v>
      </c>
      <c r="I31" s="1048">
        <f>D31+F31-H31</f>
        <v>13214.48000000001</v>
      </c>
      <c r="J31" s="1049">
        <f t="shared" si="11"/>
        <v>13214.48000000001</v>
      </c>
      <c r="K31" s="1049">
        <f t="shared" si="12"/>
        <v>0</v>
      </c>
    </row>
    <row r="32" spans="1:11" s="174" customFormat="1" ht="24.75" customHeight="1">
      <c r="A32" s="918" t="s">
        <v>1482</v>
      </c>
      <c r="B32" s="1063" t="s">
        <v>1486</v>
      </c>
      <c r="C32" s="1064" t="s">
        <v>502</v>
      </c>
      <c r="D32" s="921">
        <v>0</v>
      </c>
      <c r="E32" s="921">
        <v>546300</v>
      </c>
      <c r="F32" s="921">
        <v>102076.65</v>
      </c>
      <c r="G32" s="921">
        <v>546300</v>
      </c>
      <c r="H32" s="1065">
        <v>101902.01</v>
      </c>
      <c r="I32" s="988">
        <f>D32+F32-H32</f>
        <v>174.63999999999942</v>
      </c>
      <c r="J32" s="206">
        <f t="shared" si="11"/>
        <v>174.63999999999942</v>
      </c>
      <c r="K32" s="206">
        <f t="shared" si="12"/>
        <v>0</v>
      </c>
    </row>
    <row r="33" spans="1:11" s="233" customFormat="1" ht="24.75" customHeight="1">
      <c r="A33" s="1068" t="s">
        <v>1482</v>
      </c>
      <c r="B33" s="1069" t="s">
        <v>1487</v>
      </c>
      <c r="C33" s="1070" t="s">
        <v>503</v>
      </c>
      <c r="D33" s="1071">
        <v>0</v>
      </c>
      <c r="E33" s="1071">
        <v>8300</v>
      </c>
      <c r="F33" s="1071">
        <v>5150</v>
      </c>
      <c r="G33" s="1071">
        <v>8300</v>
      </c>
      <c r="H33" s="1072">
        <v>2881.87</v>
      </c>
      <c r="I33" s="1073">
        <f>D33+F33-H33</f>
        <v>2268.13</v>
      </c>
      <c r="J33" s="232">
        <f t="shared" si="11"/>
        <v>2268.13</v>
      </c>
      <c r="K33" s="232">
        <f t="shared" si="12"/>
        <v>0</v>
      </c>
    </row>
    <row r="34" spans="1:11" s="233" customFormat="1" ht="24.75" customHeight="1" thickBot="1">
      <c r="A34" s="1074" t="s">
        <v>1482</v>
      </c>
      <c r="B34" s="1075" t="s">
        <v>49</v>
      </c>
      <c r="C34" s="1076" t="s">
        <v>1221</v>
      </c>
      <c r="D34" s="1077">
        <v>0</v>
      </c>
      <c r="E34" s="1077">
        <v>499022</v>
      </c>
      <c r="F34" s="1077">
        <v>219825.99</v>
      </c>
      <c r="G34" s="1077">
        <v>499022</v>
      </c>
      <c r="H34" s="1078">
        <v>198158.26</v>
      </c>
      <c r="I34" s="1079">
        <f>D34+F34-H34</f>
        <v>21667.72999999998</v>
      </c>
      <c r="J34" s="232">
        <f>D34+F34-H34</f>
        <v>21667.72999999998</v>
      </c>
      <c r="K34" s="232">
        <f>I34-J34</f>
        <v>0</v>
      </c>
    </row>
    <row r="35" spans="1:11" s="1082" customFormat="1" ht="24.75" customHeight="1" thickBot="1">
      <c r="A35" s="1759" t="s">
        <v>1213</v>
      </c>
      <c r="B35" s="1760"/>
      <c r="C35" s="1760"/>
      <c r="D35" s="1080">
        <f aca="true" t="shared" si="13" ref="D35:I35">SUM(D8,D27)</f>
        <v>587.18</v>
      </c>
      <c r="E35" s="1080">
        <f t="shared" si="13"/>
        <v>4302960</v>
      </c>
      <c r="F35" s="1080">
        <f t="shared" si="13"/>
        <v>1841922.73</v>
      </c>
      <c r="G35" s="1080">
        <f t="shared" si="13"/>
        <v>4302960</v>
      </c>
      <c r="H35" s="1080">
        <f t="shared" si="13"/>
        <v>1630111.9700000002</v>
      </c>
      <c r="I35" s="1081">
        <f t="shared" si="13"/>
        <v>212397.93999999997</v>
      </c>
      <c r="J35" s="232">
        <f t="shared" si="11"/>
        <v>212397.9399999997</v>
      </c>
      <c r="K35" s="232">
        <f t="shared" si="12"/>
        <v>2.6193447411060333E-10</v>
      </c>
    </row>
    <row r="36" spans="1:2" s="1030" customFormat="1" ht="12.75">
      <c r="A36" s="1029"/>
      <c r="B36" s="1029"/>
    </row>
  </sheetData>
  <sheetProtection password="CF53" sheet="1" formatRows="0" insertColumns="0" insertRows="0" insertHyperlinks="0" deleteColumns="0" deleteRows="0" sort="0" autoFilter="0" pivotTables="0"/>
  <mergeCells count="11">
    <mergeCell ref="E5:F5"/>
    <mergeCell ref="A3:I3"/>
    <mergeCell ref="A35:C35"/>
    <mergeCell ref="G5:H5"/>
    <mergeCell ref="A5:A6"/>
    <mergeCell ref="B5:B6"/>
    <mergeCell ref="D5:D6"/>
    <mergeCell ref="A27:C27"/>
    <mergeCell ref="A8:C8"/>
    <mergeCell ref="I5:I6"/>
    <mergeCell ref="C5:C6"/>
  </mergeCell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1"/>
  <rowBreaks count="1" manualBreakCount="1">
    <brk id="21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I24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3.375" style="1083" customWidth="1"/>
    <col min="2" max="2" width="7.875" style="1083" customWidth="1"/>
    <col min="3" max="3" width="44.25390625" style="1084" customWidth="1"/>
    <col min="4" max="4" width="13.25390625" style="1085" hidden="1" customWidth="1"/>
    <col min="5" max="5" width="12.625" style="1084" customWidth="1"/>
    <col min="6" max="6" width="12.125" style="1111" customWidth="1"/>
    <col min="7" max="7" width="10.00390625" style="1084" hidden="1" customWidth="1"/>
    <col min="8" max="8" width="6.25390625" style="1084" customWidth="1"/>
    <col min="9" max="16384" width="9.125" style="1084" customWidth="1"/>
  </cols>
  <sheetData>
    <row r="1" spans="6:8" ht="12.75">
      <c r="F1" s="176"/>
      <c r="G1" s="176" t="s">
        <v>1384</v>
      </c>
      <c r="H1" s="176" t="s">
        <v>613</v>
      </c>
    </row>
    <row r="2" spans="6:7" ht="19.5" customHeight="1">
      <c r="F2" s="1583"/>
      <c r="G2" s="1583"/>
    </row>
    <row r="3" spans="1:6" ht="29.25" customHeight="1">
      <c r="A3" s="1769" t="s">
        <v>941</v>
      </c>
      <c r="B3" s="1769"/>
      <c r="C3" s="1769"/>
      <c r="D3" s="1769"/>
      <c r="E3" s="1769"/>
      <c r="F3" s="1769"/>
    </row>
    <row r="4" spans="5:9" ht="29.25" customHeight="1" thickBot="1">
      <c r="E4" s="1087"/>
      <c r="F4" s="1088"/>
      <c r="G4" s="1088" t="s">
        <v>1351</v>
      </c>
      <c r="H4" s="1088" t="s">
        <v>1351</v>
      </c>
      <c r="I4" s="1088"/>
    </row>
    <row r="5" spans="1:8" s="1086" customFormat="1" ht="56.25" customHeight="1">
      <c r="A5" s="1089" t="s">
        <v>168</v>
      </c>
      <c r="B5" s="1090" t="s">
        <v>1352</v>
      </c>
      <c r="C5" s="1090" t="s">
        <v>98</v>
      </c>
      <c r="D5" s="1091" t="s">
        <v>1248</v>
      </c>
      <c r="E5" s="1091" t="s">
        <v>711</v>
      </c>
      <c r="F5" s="1092" t="s">
        <v>572</v>
      </c>
      <c r="G5" s="1093" t="s">
        <v>595</v>
      </c>
      <c r="H5" s="1094" t="s">
        <v>1383</v>
      </c>
    </row>
    <row r="6" spans="1:8" s="1100" customFormat="1" ht="14.25" customHeight="1">
      <c r="A6" s="1095">
        <v>1</v>
      </c>
      <c r="B6" s="1096">
        <v>2</v>
      </c>
      <c r="C6" s="1096">
        <v>3</v>
      </c>
      <c r="D6" s="1097">
        <v>4</v>
      </c>
      <c r="E6" s="1097">
        <v>4</v>
      </c>
      <c r="F6" s="1097">
        <v>5</v>
      </c>
      <c r="G6" s="1098">
        <v>6</v>
      </c>
      <c r="H6" s="1099">
        <v>6</v>
      </c>
    </row>
    <row r="7" spans="1:8" ht="39" customHeight="1">
      <c r="A7" s="1101" t="s">
        <v>171</v>
      </c>
      <c r="B7" s="1102">
        <v>60015</v>
      </c>
      <c r="C7" s="1464" t="s">
        <v>942</v>
      </c>
      <c r="D7" s="1103" t="s">
        <v>1362</v>
      </c>
      <c r="E7" s="1104">
        <v>11642000</v>
      </c>
      <c r="F7" s="1104">
        <v>11642000</v>
      </c>
      <c r="G7" s="1105">
        <f>E7-F7</f>
        <v>0</v>
      </c>
      <c r="H7" s="1106">
        <f aca="true" t="shared" si="0" ref="H7:H24">F7*100/E7</f>
        <v>100</v>
      </c>
    </row>
    <row r="8" spans="1:8" ht="39" customHeight="1">
      <c r="A8" s="1101" t="s">
        <v>172</v>
      </c>
      <c r="B8" s="1102">
        <v>60015</v>
      </c>
      <c r="C8" s="1465" t="s">
        <v>1165</v>
      </c>
      <c r="D8" s="1103"/>
      <c r="E8" s="1104">
        <v>198800</v>
      </c>
      <c r="F8" s="1104">
        <v>198800</v>
      </c>
      <c r="G8" s="1105"/>
      <c r="H8" s="1106">
        <f t="shared" si="0"/>
        <v>100</v>
      </c>
    </row>
    <row r="9" spans="1:8" ht="49.5" customHeight="1">
      <c r="A9" s="1101" t="s">
        <v>249</v>
      </c>
      <c r="B9" s="1102">
        <v>60015</v>
      </c>
      <c r="C9" s="1465" t="s">
        <v>943</v>
      </c>
      <c r="D9" s="1103"/>
      <c r="E9" s="1104">
        <v>1816238</v>
      </c>
      <c r="F9" s="1104">
        <v>1816238</v>
      </c>
      <c r="G9" s="1105"/>
      <c r="H9" s="1106">
        <f t="shared" si="0"/>
        <v>100</v>
      </c>
    </row>
    <row r="10" spans="1:8" ht="48" customHeight="1" hidden="1">
      <c r="A10" s="1101" t="s">
        <v>256</v>
      </c>
      <c r="B10" s="1102"/>
      <c r="C10" s="1465"/>
      <c r="D10" s="1103"/>
      <c r="E10" s="1104"/>
      <c r="F10" s="1104"/>
      <c r="G10" s="1105"/>
      <c r="H10" s="1106" t="e">
        <f t="shared" si="0"/>
        <v>#DIV/0!</v>
      </c>
    </row>
    <row r="11" spans="1:8" ht="47.25" customHeight="1" hidden="1">
      <c r="A11" s="1101" t="s">
        <v>257</v>
      </c>
      <c r="B11" s="1102"/>
      <c r="C11" s="1465"/>
      <c r="D11" s="1103"/>
      <c r="E11" s="1104"/>
      <c r="F11" s="1104"/>
      <c r="G11" s="1105"/>
      <c r="H11" s="1106" t="e">
        <f t="shared" si="0"/>
        <v>#DIV/0!</v>
      </c>
    </row>
    <row r="12" spans="1:8" ht="39" customHeight="1">
      <c r="A12" s="1101" t="s">
        <v>256</v>
      </c>
      <c r="B12" s="1102">
        <v>60016</v>
      </c>
      <c r="C12" s="1465" t="s">
        <v>1374</v>
      </c>
      <c r="D12" s="1103"/>
      <c r="E12" s="1104">
        <v>70000</v>
      </c>
      <c r="F12" s="1104">
        <v>62880.48</v>
      </c>
      <c r="G12" s="1105"/>
      <c r="H12" s="1106">
        <f t="shared" si="0"/>
        <v>89.82925714285714</v>
      </c>
    </row>
    <row r="13" spans="1:8" ht="39" customHeight="1" hidden="1">
      <c r="A13" s="1101" t="s">
        <v>330</v>
      </c>
      <c r="B13" s="1102"/>
      <c r="C13" s="1465"/>
      <c r="D13" s="1103"/>
      <c r="E13" s="1104"/>
      <c r="F13" s="1104"/>
      <c r="G13" s="1105"/>
      <c r="H13" s="1106" t="e">
        <f t="shared" si="0"/>
        <v>#DIV/0!</v>
      </c>
    </row>
    <row r="14" spans="1:8" ht="50.25" customHeight="1">
      <c r="A14" s="1101" t="s">
        <v>257</v>
      </c>
      <c r="B14" s="1102">
        <v>80101</v>
      </c>
      <c r="C14" s="1465" t="s">
        <v>1178</v>
      </c>
      <c r="D14" s="1103"/>
      <c r="E14" s="1104">
        <v>500000</v>
      </c>
      <c r="F14" s="1104">
        <v>495352.57</v>
      </c>
      <c r="G14" s="1105">
        <f>E14-F14</f>
        <v>4647.429999999993</v>
      </c>
      <c r="H14" s="1106">
        <f t="shared" si="0"/>
        <v>99.070514</v>
      </c>
    </row>
    <row r="15" spans="1:8" ht="51.75" customHeight="1" hidden="1">
      <c r="A15" s="1101" t="s">
        <v>259</v>
      </c>
      <c r="B15" s="1102"/>
      <c r="C15" s="1465"/>
      <c r="D15" s="1103"/>
      <c r="E15" s="1104"/>
      <c r="F15" s="1104"/>
      <c r="G15" s="1105"/>
      <c r="H15" s="1106" t="e">
        <f t="shared" si="0"/>
        <v>#DIV/0!</v>
      </c>
    </row>
    <row r="16" spans="1:8" ht="45.75" customHeight="1">
      <c r="A16" s="1101" t="s">
        <v>258</v>
      </c>
      <c r="B16" s="1102">
        <v>80101</v>
      </c>
      <c r="C16" s="1465" t="s">
        <v>863</v>
      </c>
      <c r="D16" s="1103"/>
      <c r="E16" s="1104">
        <v>60000</v>
      </c>
      <c r="F16" s="1104">
        <v>30528.09</v>
      </c>
      <c r="G16" s="1105"/>
      <c r="H16" s="1106">
        <f t="shared" si="0"/>
        <v>50.88015</v>
      </c>
    </row>
    <row r="17" spans="1:8" ht="48" customHeight="1">
      <c r="A17" s="1101" t="s">
        <v>330</v>
      </c>
      <c r="B17" s="1102">
        <v>85154</v>
      </c>
      <c r="C17" s="1465" t="s">
        <v>944</v>
      </c>
      <c r="D17" s="1103"/>
      <c r="E17" s="1104">
        <v>300000</v>
      </c>
      <c r="F17" s="1104">
        <v>300000</v>
      </c>
      <c r="G17" s="1105"/>
      <c r="H17" s="1106">
        <f t="shared" si="0"/>
        <v>100</v>
      </c>
    </row>
    <row r="18" spans="1:8" ht="51.75" customHeight="1" hidden="1">
      <c r="A18" s="1101" t="s">
        <v>262</v>
      </c>
      <c r="B18" s="1102"/>
      <c r="C18" s="1465"/>
      <c r="D18" s="1103"/>
      <c r="E18" s="1104"/>
      <c r="F18" s="1104"/>
      <c r="G18" s="1105"/>
      <c r="H18" s="1106" t="e">
        <f t="shared" si="0"/>
        <v>#DIV/0!</v>
      </c>
    </row>
    <row r="19" spans="1:8" ht="51.75" customHeight="1">
      <c r="A19" s="1101" t="s">
        <v>331</v>
      </c>
      <c r="B19" s="1102">
        <v>90004</v>
      </c>
      <c r="C19" s="1465" t="s">
        <v>945</v>
      </c>
      <c r="D19" s="1103"/>
      <c r="E19" s="1104">
        <v>393000</v>
      </c>
      <c r="F19" s="1104">
        <v>393000</v>
      </c>
      <c r="G19" s="1105"/>
      <c r="H19" s="1106">
        <f t="shared" si="0"/>
        <v>100</v>
      </c>
    </row>
    <row r="20" spans="1:8" ht="51.75" customHeight="1" hidden="1">
      <c r="A20" s="1101" t="s">
        <v>333</v>
      </c>
      <c r="B20" s="1102"/>
      <c r="C20" s="1465"/>
      <c r="D20" s="1103"/>
      <c r="E20" s="1104"/>
      <c r="F20" s="1104"/>
      <c r="G20" s="1105"/>
      <c r="H20" s="1106" t="e">
        <f t="shared" si="0"/>
        <v>#DIV/0!</v>
      </c>
    </row>
    <row r="21" spans="1:8" ht="51.75" customHeight="1">
      <c r="A21" s="1101" t="s">
        <v>259</v>
      </c>
      <c r="B21" s="1102">
        <v>90095</v>
      </c>
      <c r="C21" s="1465" t="s">
        <v>875</v>
      </c>
      <c r="D21" s="1103"/>
      <c r="E21" s="1104">
        <v>1500000</v>
      </c>
      <c r="F21" s="1104">
        <v>1500000</v>
      </c>
      <c r="G21" s="1105"/>
      <c r="H21" s="1106">
        <f t="shared" si="0"/>
        <v>100</v>
      </c>
    </row>
    <row r="22" spans="1:8" ht="51.75" customHeight="1" hidden="1">
      <c r="A22" s="1101" t="s">
        <v>265</v>
      </c>
      <c r="B22" s="1102"/>
      <c r="C22" s="1465"/>
      <c r="D22" s="1103"/>
      <c r="E22" s="1104"/>
      <c r="F22" s="1104"/>
      <c r="G22" s="1105"/>
      <c r="H22" s="1106" t="e">
        <f t="shared" si="0"/>
        <v>#DIV/0!</v>
      </c>
    </row>
    <row r="23" spans="1:8" ht="59.25" customHeight="1">
      <c r="A23" s="1101" t="s">
        <v>261</v>
      </c>
      <c r="B23" s="1102">
        <v>90095</v>
      </c>
      <c r="C23" s="1465" t="s">
        <v>946</v>
      </c>
      <c r="D23" s="1103"/>
      <c r="E23" s="1104">
        <v>25830</v>
      </c>
      <c r="F23" s="1104">
        <v>5166</v>
      </c>
      <c r="G23" s="1105">
        <f>E23-F23</f>
        <v>20664</v>
      </c>
      <c r="H23" s="1106">
        <f t="shared" si="0"/>
        <v>20</v>
      </c>
    </row>
    <row r="24" spans="1:8" s="1110" customFormat="1" ht="24" customHeight="1" thickBot="1">
      <c r="A24" s="1766" t="s">
        <v>1364</v>
      </c>
      <c r="B24" s="1767"/>
      <c r="C24" s="1767"/>
      <c r="D24" s="1768"/>
      <c r="E24" s="1107">
        <f>SUM(E7:E23)</f>
        <v>16505868</v>
      </c>
      <c r="F24" s="1107">
        <f>SUM(F7:F23)</f>
        <v>16443965.14</v>
      </c>
      <c r="G24" s="1108"/>
      <c r="H24" s="1109">
        <f t="shared" si="0"/>
        <v>99.62496452776674</v>
      </c>
    </row>
  </sheetData>
  <sheetProtection password="CF53" sheet="1" formatRows="0" insertColumns="0" insertRows="0" insertHyperlinks="0" deleteColumns="0" deleteRows="0" sort="0" autoFilter="0" pivotTables="0"/>
  <mergeCells count="3">
    <mergeCell ref="A24:D24"/>
    <mergeCell ref="A3:F3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60"/>
  <sheetViews>
    <sheetView view="pageBreakPreview" zoomScaleSheetLayoutView="100" zoomScalePageLayoutView="0" workbookViewId="0" topLeftCell="A38">
      <selection activeCell="C54" sqref="C54"/>
    </sheetView>
  </sheetViews>
  <sheetFormatPr defaultColWidth="9.00390625" defaultRowHeight="12.75"/>
  <cols>
    <col min="1" max="1" width="3.625" style="174" customWidth="1"/>
    <col min="2" max="2" width="4.375" style="174" customWidth="1"/>
    <col min="3" max="3" width="48.75390625" style="174" customWidth="1"/>
    <col min="4" max="5" width="12.00390625" style="174" customWidth="1"/>
    <col min="6" max="6" width="6.25390625" style="174" customWidth="1"/>
    <col min="7" max="16384" width="9.125" style="174" customWidth="1"/>
  </cols>
  <sheetData>
    <row r="1" spans="5:6" ht="12" customHeight="1">
      <c r="E1" s="1583" t="s">
        <v>879</v>
      </c>
      <c r="F1" s="1583"/>
    </row>
    <row r="3" spans="1:6" ht="12.75">
      <c r="A3" s="1587" t="s">
        <v>701</v>
      </c>
      <c r="B3" s="1587"/>
      <c r="C3" s="1587"/>
      <c r="D3" s="1587"/>
      <c r="E3" s="1587"/>
      <c r="F3" s="1587"/>
    </row>
    <row r="4" spans="1:6" ht="12.75">
      <c r="A4" s="173"/>
      <c r="B4" s="173"/>
      <c r="C4" s="173"/>
      <c r="D4" s="173"/>
      <c r="E4" s="173"/>
      <c r="F4" s="173"/>
    </row>
    <row r="5" spans="1:6" s="175" customFormat="1" ht="12.75" customHeight="1" thickBot="1">
      <c r="A5" s="1775" t="s">
        <v>702</v>
      </c>
      <c r="B5" s="1775"/>
      <c r="C5" s="1775"/>
      <c r="F5" s="176" t="s">
        <v>1351</v>
      </c>
    </row>
    <row r="6" spans="1:6" s="173" customFormat="1" ht="12.75">
      <c r="A6" s="748" t="s">
        <v>168</v>
      </c>
      <c r="B6" s="749" t="s">
        <v>102</v>
      </c>
      <c r="C6" s="749" t="s">
        <v>1353</v>
      </c>
      <c r="D6" s="750" t="s">
        <v>1354</v>
      </c>
      <c r="E6" s="750" t="s">
        <v>1355</v>
      </c>
      <c r="F6" s="1112" t="s">
        <v>505</v>
      </c>
    </row>
    <row r="7" spans="1:6" s="1117" customFormat="1" ht="12.75" customHeight="1" thickBot="1">
      <c r="A7" s="1113">
        <v>1</v>
      </c>
      <c r="B7" s="1114">
        <v>2</v>
      </c>
      <c r="C7" s="1114">
        <v>3</v>
      </c>
      <c r="D7" s="1115">
        <v>4</v>
      </c>
      <c r="E7" s="1115">
        <v>5</v>
      </c>
      <c r="F7" s="1116">
        <v>6</v>
      </c>
    </row>
    <row r="8" spans="1:6" s="175" customFormat="1" ht="27.75" customHeight="1">
      <c r="A8" s="186" t="s">
        <v>506</v>
      </c>
      <c r="B8" s="187"/>
      <c r="C8" s="1118" t="s">
        <v>1051</v>
      </c>
      <c r="D8" s="188">
        <v>677987</v>
      </c>
      <c r="E8" s="188">
        <v>677986.66</v>
      </c>
      <c r="F8" s="1119" t="s">
        <v>176</v>
      </c>
    </row>
    <row r="9" spans="1:6" s="175" customFormat="1" ht="18.75" customHeight="1">
      <c r="A9" s="1120" t="s">
        <v>507</v>
      </c>
      <c r="B9" s="1121"/>
      <c r="C9" s="1121" t="s">
        <v>160</v>
      </c>
      <c r="D9" s="382">
        <f>SUM(D10,D11,D12,D13,D14,D15,D16)</f>
        <v>10224700</v>
      </c>
      <c r="E9" s="382">
        <f>SUM(E10,E11,E12,E13,E14,E15,E16)</f>
        <v>5193892.3100000005</v>
      </c>
      <c r="F9" s="1122">
        <f aca="true" t="shared" si="0" ref="F9:F21">E9/D9*100</f>
        <v>50.79750320302797</v>
      </c>
    </row>
    <row r="10" spans="1:6" ht="18.75" customHeight="1">
      <c r="A10" s="453" t="s">
        <v>171</v>
      </c>
      <c r="B10" s="691" t="s">
        <v>383</v>
      </c>
      <c r="C10" s="703" t="s">
        <v>508</v>
      </c>
      <c r="D10" s="452">
        <v>8758700</v>
      </c>
      <c r="E10" s="452">
        <v>4241691.2</v>
      </c>
      <c r="F10" s="1123">
        <f t="shared" si="0"/>
        <v>48.428319271124714</v>
      </c>
    </row>
    <row r="11" spans="1:6" ht="18.75" customHeight="1">
      <c r="A11" s="453" t="s">
        <v>172</v>
      </c>
      <c r="B11" s="691" t="s">
        <v>384</v>
      </c>
      <c r="C11" s="703" t="s">
        <v>110</v>
      </c>
      <c r="D11" s="452">
        <v>292000</v>
      </c>
      <c r="E11" s="452">
        <v>145681.89</v>
      </c>
      <c r="F11" s="1123">
        <f t="shared" si="0"/>
        <v>49.891058219178085</v>
      </c>
    </row>
    <row r="12" spans="1:6" ht="18.75" customHeight="1">
      <c r="A12" s="453" t="s">
        <v>249</v>
      </c>
      <c r="B12" s="691" t="s">
        <v>385</v>
      </c>
      <c r="C12" s="703" t="s">
        <v>109</v>
      </c>
      <c r="D12" s="452">
        <v>254000</v>
      </c>
      <c r="E12" s="452">
        <v>129847.45</v>
      </c>
      <c r="F12" s="1123">
        <f t="shared" si="0"/>
        <v>51.12104330708661</v>
      </c>
    </row>
    <row r="13" spans="1:6" ht="27" customHeight="1">
      <c r="A13" s="453" t="s">
        <v>256</v>
      </c>
      <c r="B13" s="691" t="s">
        <v>509</v>
      </c>
      <c r="C13" s="740" t="s">
        <v>899</v>
      </c>
      <c r="D13" s="452">
        <v>320000</v>
      </c>
      <c r="E13" s="452">
        <v>160000</v>
      </c>
      <c r="F13" s="1123">
        <f t="shared" si="0"/>
        <v>50</v>
      </c>
    </row>
    <row r="14" spans="1:6" ht="54" customHeight="1" hidden="1">
      <c r="A14" s="453" t="s">
        <v>257</v>
      </c>
      <c r="B14" s="691" t="s">
        <v>820</v>
      </c>
      <c r="C14" s="740" t="s">
        <v>821</v>
      </c>
      <c r="D14" s="452">
        <v>0</v>
      </c>
      <c r="E14" s="452">
        <v>0</v>
      </c>
      <c r="F14" s="1123" t="e">
        <f t="shared" si="0"/>
        <v>#DIV/0!</v>
      </c>
    </row>
    <row r="15" spans="1:6" ht="21" customHeight="1">
      <c r="A15" s="453" t="s">
        <v>258</v>
      </c>
      <c r="B15" s="691"/>
      <c r="C15" s="740" t="s">
        <v>510</v>
      </c>
      <c r="D15" s="452">
        <v>600000</v>
      </c>
      <c r="E15" s="452">
        <v>367184.77</v>
      </c>
      <c r="F15" s="1123">
        <f t="shared" si="0"/>
        <v>61.197461666666676</v>
      </c>
    </row>
    <row r="16" spans="1:6" ht="18.75" customHeight="1" thickBot="1">
      <c r="A16" s="453" t="s">
        <v>330</v>
      </c>
      <c r="B16" s="691"/>
      <c r="C16" s="703" t="s">
        <v>1231</v>
      </c>
      <c r="D16" s="452">
        <v>0</v>
      </c>
      <c r="E16" s="452">
        <v>149487</v>
      </c>
      <c r="F16" s="1167" t="s">
        <v>144</v>
      </c>
    </row>
    <row r="17" spans="1:6" s="175" customFormat="1" ht="18" customHeight="1" thickBot="1">
      <c r="A17" s="1773" t="s">
        <v>511</v>
      </c>
      <c r="B17" s="1774"/>
      <c r="C17" s="1774"/>
      <c r="D17" s="1124">
        <f>D9+D8</f>
        <v>10902687</v>
      </c>
      <c r="E17" s="1124">
        <f>E9+E8</f>
        <v>5871878.970000001</v>
      </c>
      <c r="F17" s="1125">
        <f t="shared" si="0"/>
        <v>53.8571727318229</v>
      </c>
    </row>
    <row r="18" spans="1:6" s="175" customFormat="1" ht="18" customHeight="1">
      <c r="A18" s="1120" t="s">
        <v>513</v>
      </c>
      <c r="B18" s="1121"/>
      <c r="C18" s="1121" t="s">
        <v>514</v>
      </c>
      <c r="D18" s="382">
        <f>SUM(D19,D20,D21,D22,D23,D24,D25,D26,D27,D28,D29,D30,D31,D32,D33,D34,D35,D36,D37,D38,D39,D40,D41,D42,D43,D44,D45,D46,D47,D48)+D49+D50+D51+D52+D53+D54+D55</f>
        <v>10202187</v>
      </c>
      <c r="E18" s="382">
        <f>SUM(E19,E20,E21,E22,E23,E24,E25,E26,E27,E28,E29,E30,E31,E32,E33,E34,E35,E36,E37,E38,E39,E40,E41,E42,E43,E44,E45,E46,E47,E48)+E49+E50+E51+E52+E53+E54+E55</f>
        <v>4678279.800000001</v>
      </c>
      <c r="F18" s="1122">
        <f t="shared" si="0"/>
        <v>45.855656243117295</v>
      </c>
    </row>
    <row r="19" spans="1:6" ht="18.75" customHeight="1">
      <c r="A19" s="1126" t="s">
        <v>171</v>
      </c>
      <c r="B19" s="1127">
        <v>3020</v>
      </c>
      <c r="C19" s="740" t="s">
        <v>515</v>
      </c>
      <c r="D19" s="456">
        <v>11500</v>
      </c>
      <c r="E19" s="452">
        <v>9980.52</v>
      </c>
      <c r="F19" s="1128">
        <f t="shared" si="0"/>
        <v>86.78713043478261</v>
      </c>
    </row>
    <row r="20" spans="1:7" ht="18.75" customHeight="1">
      <c r="A20" s="1126" t="s">
        <v>172</v>
      </c>
      <c r="B20" s="1127">
        <v>4010</v>
      </c>
      <c r="C20" s="740" t="s">
        <v>516</v>
      </c>
      <c r="D20" s="452">
        <v>1469000</v>
      </c>
      <c r="E20" s="452">
        <v>685563.92</v>
      </c>
      <c r="F20" s="1123">
        <f t="shared" si="0"/>
        <v>46.66874880871341</v>
      </c>
      <c r="G20" s="206"/>
    </row>
    <row r="21" spans="1:6" ht="18.75" customHeight="1">
      <c r="A21" s="1126" t="s">
        <v>249</v>
      </c>
      <c r="B21" s="1127">
        <v>4040</v>
      </c>
      <c r="C21" s="740" t="s">
        <v>517</v>
      </c>
      <c r="D21" s="452">
        <v>124000</v>
      </c>
      <c r="E21" s="452">
        <v>0</v>
      </c>
      <c r="F21" s="1123">
        <f t="shared" si="0"/>
        <v>0</v>
      </c>
    </row>
    <row r="22" spans="1:6" ht="18.75" customHeight="1">
      <c r="A22" s="1126" t="s">
        <v>256</v>
      </c>
      <c r="B22" s="1127">
        <v>4110</v>
      </c>
      <c r="C22" s="740" t="s">
        <v>523</v>
      </c>
      <c r="D22" s="452">
        <v>272000</v>
      </c>
      <c r="E22" s="452">
        <v>120588.01</v>
      </c>
      <c r="F22" s="1123">
        <f aca="true" t="shared" si="1" ref="F22:F54">E22/D22*100</f>
        <v>44.33382720588235</v>
      </c>
    </row>
    <row r="23" spans="1:6" ht="18.75" customHeight="1">
      <c r="A23" s="1126" t="s">
        <v>257</v>
      </c>
      <c r="B23" s="1127">
        <v>4120</v>
      </c>
      <c r="C23" s="740" t="s">
        <v>524</v>
      </c>
      <c r="D23" s="452">
        <v>36000</v>
      </c>
      <c r="E23" s="452">
        <v>11240.85</v>
      </c>
      <c r="F23" s="1123">
        <f t="shared" si="1"/>
        <v>31.224583333333335</v>
      </c>
    </row>
    <row r="24" spans="1:6" ht="30" customHeight="1">
      <c r="A24" s="1126" t="s">
        <v>258</v>
      </c>
      <c r="B24" s="1127">
        <v>4140</v>
      </c>
      <c r="C24" s="740" t="s">
        <v>583</v>
      </c>
      <c r="D24" s="452">
        <v>7500</v>
      </c>
      <c r="E24" s="452">
        <v>2766</v>
      </c>
      <c r="F24" s="1123">
        <f t="shared" si="1"/>
        <v>36.88</v>
      </c>
    </row>
    <row r="25" spans="1:6" ht="18.75" customHeight="1">
      <c r="A25" s="1126" t="s">
        <v>330</v>
      </c>
      <c r="B25" s="1127">
        <v>4170</v>
      </c>
      <c r="C25" s="740" t="s">
        <v>525</v>
      </c>
      <c r="D25" s="452">
        <v>70000</v>
      </c>
      <c r="E25" s="452">
        <v>22029.21</v>
      </c>
      <c r="F25" s="1123">
        <f t="shared" si="1"/>
        <v>31.4703</v>
      </c>
    </row>
    <row r="26" spans="1:6" ht="18.75" customHeight="1">
      <c r="A26" s="1126" t="s">
        <v>331</v>
      </c>
      <c r="B26" s="1127">
        <v>4210</v>
      </c>
      <c r="C26" s="740" t="s">
        <v>526</v>
      </c>
      <c r="D26" s="452">
        <v>125000</v>
      </c>
      <c r="E26" s="452">
        <v>67178.25</v>
      </c>
      <c r="F26" s="1123">
        <f t="shared" si="1"/>
        <v>53.742599999999996</v>
      </c>
    </row>
    <row r="27" spans="1:6" ht="18.75" customHeight="1">
      <c r="A27" s="1126" t="s">
        <v>259</v>
      </c>
      <c r="B27" s="1127">
        <v>4260</v>
      </c>
      <c r="C27" s="740" t="s">
        <v>527</v>
      </c>
      <c r="D27" s="452">
        <v>1650000</v>
      </c>
      <c r="E27" s="452">
        <v>854710.27</v>
      </c>
      <c r="F27" s="1123">
        <f t="shared" si="1"/>
        <v>51.80062242424243</v>
      </c>
    </row>
    <row r="28" spans="1:6" ht="18.75" customHeight="1">
      <c r="A28" s="1126" t="s">
        <v>261</v>
      </c>
      <c r="B28" s="1127">
        <v>4270</v>
      </c>
      <c r="C28" s="740" t="s">
        <v>528</v>
      </c>
      <c r="D28" s="452">
        <v>2012500</v>
      </c>
      <c r="E28" s="452">
        <v>745977.9</v>
      </c>
      <c r="F28" s="1123">
        <f t="shared" si="1"/>
        <v>37.0672248447205</v>
      </c>
    </row>
    <row r="29" spans="1:6" ht="18.75" customHeight="1">
      <c r="A29" s="1126" t="s">
        <v>332</v>
      </c>
      <c r="B29" s="1127">
        <v>4280</v>
      </c>
      <c r="C29" s="740" t="s">
        <v>581</v>
      </c>
      <c r="D29" s="452">
        <v>4000</v>
      </c>
      <c r="E29" s="452">
        <v>900</v>
      </c>
      <c r="F29" s="1123">
        <f t="shared" si="1"/>
        <v>22.5</v>
      </c>
    </row>
    <row r="30" spans="1:6" ht="18.75" customHeight="1">
      <c r="A30" s="1126" t="s">
        <v>262</v>
      </c>
      <c r="B30" s="1127">
        <v>4300</v>
      </c>
      <c r="C30" s="740" t="s">
        <v>536</v>
      </c>
      <c r="D30" s="452">
        <v>2424800</v>
      </c>
      <c r="E30" s="452">
        <v>1254420.47</v>
      </c>
      <c r="F30" s="1123">
        <f t="shared" si="1"/>
        <v>51.7329458099637</v>
      </c>
    </row>
    <row r="31" spans="1:6" ht="18.75" customHeight="1">
      <c r="A31" s="1126" t="s">
        <v>263</v>
      </c>
      <c r="B31" s="1127">
        <v>4350</v>
      </c>
      <c r="C31" s="1129" t="s">
        <v>537</v>
      </c>
      <c r="D31" s="452">
        <v>1200</v>
      </c>
      <c r="E31" s="452">
        <v>480</v>
      </c>
      <c r="F31" s="1123">
        <f t="shared" si="1"/>
        <v>40</v>
      </c>
    </row>
    <row r="32" spans="1:6" ht="28.5" customHeight="1">
      <c r="A32" s="1126" t="s">
        <v>333</v>
      </c>
      <c r="B32" s="1127">
        <v>4360</v>
      </c>
      <c r="C32" s="1129" t="s">
        <v>538</v>
      </c>
      <c r="D32" s="452">
        <v>6000</v>
      </c>
      <c r="E32" s="452">
        <v>2056.24</v>
      </c>
      <c r="F32" s="1123">
        <f t="shared" si="1"/>
        <v>34.27066666666666</v>
      </c>
    </row>
    <row r="33" spans="1:6" ht="28.5" customHeight="1">
      <c r="A33" s="1126" t="s">
        <v>264</v>
      </c>
      <c r="B33" s="1127">
        <v>4370</v>
      </c>
      <c r="C33" s="1129" t="s">
        <v>539</v>
      </c>
      <c r="D33" s="452">
        <v>8000</v>
      </c>
      <c r="E33" s="452">
        <v>2354.81</v>
      </c>
      <c r="F33" s="1123">
        <f t="shared" si="1"/>
        <v>29.435125</v>
      </c>
    </row>
    <row r="34" spans="1:6" ht="19.5" customHeight="1">
      <c r="A34" s="1126" t="s">
        <v>265</v>
      </c>
      <c r="B34" s="1127">
        <v>4390</v>
      </c>
      <c r="C34" s="1129" t="s">
        <v>587</v>
      </c>
      <c r="D34" s="452">
        <v>238000</v>
      </c>
      <c r="E34" s="452">
        <v>10762.5</v>
      </c>
      <c r="F34" s="1123">
        <f t="shared" si="1"/>
        <v>4.522058823529411</v>
      </c>
    </row>
    <row r="35" spans="1:6" ht="30" customHeight="1">
      <c r="A35" s="1126" t="s">
        <v>266</v>
      </c>
      <c r="B35" s="1127">
        <v>4400</v>
      </c>
      <c r="C35" s="1129" t="s">
        <v>540</v>
      </c>
      <c r="D35" s="452">
        <v>5200</v>
      </c>
      <c r="E35" s="452">
        <v>2445.04</v>
      </c>
      <c r="F35" s="1123">
        <f t="shared" si="1"/>
        <v>47.02</v>
      </c>
    </row>
    <row r="36" spans="1:6" ht="18.75" customHeight="1">
      <c r="A36" s="1126" t="s">
        <v>267</v>
      </c>
      <c r="B36" s="1127">
        <v>4410</v>
      </c>
      <c r="C36" s="740" t="s">
        <v>541</v>
      </c>
      <c r="D36" s="452">
        <v>8000</v>
      </c>
      <c r="E36" s="452">
        <v>1848.6</v>
      </c>
      <c r="F36" s="1123">
        <f t="shared" si="1"/>
        <v>23.107499999999998</v>
      </c>
    </row>
    <row r="37" spans="1:6" ht="18.75" customHeight="1">
      <c r="A37" s="1126" t="s">
        <v>274</v>
      </c>
      <c r="B37" s="1127">
        <v>4430</v>
      </c>
      <c r="C37" s="740" t="s">
        <v>542</v>
      </c>
      <c r="D37" s="452">
        <v>19000</v>
      </c>
      <c r="E37" s="452">
        <v>16860</v>
      </c>
      <c r="F37" s="1123">
        <f t="shared" si="1"/>
        <v>88.73684210526316</v>
      </c>
    </row>
    <row r="38" spans="1:6" ht="18.75" customHeight="1">
      <c r="A38" s="1126" t="s">
        <v>275</v>
      </c>
      <c r="B38" s="1127">
        <v>4440</v>
      </c>
      <c r="C38" s="740" t="s">
        <v>543</v>
      </c>
      <c r="D38" s="452">
        <v>48000</v>
      </c>
      <c r="E38" s="452">
        <v>23386.3</v>
      </c>
      <c r="F38" s="1123">
        <f t="shared" si="1"/>
        <v>48.72145833333333</v>
      </c>
    </row>
    <row r="39" spans="1:6" ht="18.75" customHeight="1">
      <c r="A39" s="1126" t="s">
        <v>276</v>
      </c>
      <c r="B39" s="1127">
        <v>4480</v>
      </c>
      <c r="C39" s="740" t="s">
        <v>120</v>
      </c>
      <c r="D39" s="452">
        <v>490000</v>
      </c>
      <c r="E39" s="452">
        <v>243300</v>
      </c>
      <c r="F39" s="1123">
        <f t="shared" si="1"/>
        <v>49.6530612244898</v>
      </c>
    </row>
    <row r="40" spans="1:6" ht="28.5" customHeight="1" hidden="1">
      <c r="A40" s="1126" t="s">
        <v>276</v>
      </c>
      <c r="B40" s="1127">
        <v>4500</v>
      </c>
      <c r="C40" s="740" t="s">
        <v>627</v>
      </c>
      <c r="D40" s="452">
        <v>0</v>
      </c>
      <c r="E40" s="452">
        <v>0</v>
      </c>
      <c r="F40" s="1123" t="e">
        <f t="shared" si="1"/>
        <v>#DIV/0!</v>
      </c>
    </row>
    <row r="41" spans="1:6" ht="23.25" customHeight="1">
      <c r="A41" s="1126" t="s">
        <v>277</v>
      </c>
      <c r="B41" s="1127">
        <v>4510</v>
      </c>
      <c r="C41" s="740" t="s">
        <v>1479</v>
      </c>
      <c r="D41" s="452">
        <v>30000</v>
      </c>
      <c r="E41" s="452">
        <v>13449</v>
      </c>
      <c r="F41" s="1123">
        <f t="shared" si="1"/>
        <v>44.83</v>
      </c>
    </row>
    <row r="42" spans="1:6" ht="23.25" customHeight="1">
      <c r="A42" s="1126" t="s">
        <v>132</v>
      </c>
      <c r="B42" s="1127">
        <v>4520</v>
      </c>
      <c r="C42" s="740" t="s">
        <v>589</v>
      </c>
      <c r="D42" s="452">
        <v>73900</v>
      </c>
      <c r="E42" s="452">
        <v>62322.48</v>
      </c>
      <c r="F42" s="1123">
        <f t="shared" si="1"/>
        <v>84.33353179972937</v>
      </c>
    </row>
    <row r="43" spans="1:6" ht="23.25" customHeight="1" hidden="1">
      <c r="A43" s="1126" t="s">
        <v>132</v>
      </c>
      <c r="B43" s="1127">
        <v>4530</v>
      </c>
      <c r="C43" s="740" t="s">
        <v>698</v>
      </c>
      <c r="D43" s="452">
        <v>0</v>
      </c>
      <c r="E43" s="452">
        <v>0</v>
      </c>
      <c r="F43" s="1123" t="e">
        <f t="shared" si="1"/>
        <v>#DIV/0!</v>
      </c>
    </row>
    <row r="44" spans="1:6" ht="27.75" customHeight="1">
      <c r="A44" s="1126" t="s">
        <v>133</v>
      </c>
      <c r="B44" s="1127">
        <v>4570</v>
      </c>
      <c r="C44" s="740" t="s">
        <v>544</v>
      </c>
      <c r="D44" s="452">
        <v>1000</v>
      </c>
      <c r="E44" s="452">
        <v>0</v>
      </c>
      <c r="F44" s="1123">
        <f t="shared" si="1"/>
        <v>0</v>
      </c>
    </row>
    <row r="45" spans="1:6" ht="18" customHeight="1">
      <c r="A45" s="1126" t="s">
        <v>134</v>
      </c>
      <c r="B45" s="1127">
        <v>4580</v>
      </c>
      <c r="C45" s="740" t="s">
        <v>110</v>
      </c>
      <c r="D45" s="452">
        <v>5000</v>
      </c>
      <c r="E45" s="452">
        <v>463.85</v>
      </c>
      <c r="F45" s="1123">
        <f t="shared" si="1"/>
        <v>9.277000000000001</v>
      </c>
    </row>
    <row r="46" spans="1:6" ht="18" customHeight="1" hidden="1">
      <c r="A46" s="1126" t="s">
        <v>134</v>
      </c>
      <c r="B46" s="1127">
        <v>4590</v>
      </c>
      <c r="C46" s="740" t="s">
        <v>545</v>
      </c>
      <c r="D46" s="452">
        <v>0</v>
      </c>
      <c r="E46" s="452">
        <v>0</v>
      </c>
      <c r="F46" s="1123" t="e">
        <f t="shared" si="1"/>
        <v>#DIV/0!</v>
      </c>
    </row>
    <row r="47" spans="1:6" ht="30" customHeight="1">
      <c r="A47" s="1126" t="s">
        <v>135</v>
      </c>
      <c r="B47" s="1127">
        <v>4600</v>
      </c>
      <c r="C47" s="740" t="s">
        <v>822</v>
      </c>
      <c r="D47" s="452">
        <v>10000</v>
      </c>
      <c r="E47" s="452">
        <v>510</v>
      </c>
      <c r="F47" s="1123">
        <f t="shared" si="1"/>
        <v>5.1</v>
      </c>
    </row>
    <row r="48" spans="1:6" ht="19.5" customHeight="1">
      <c r="A48" s="1126" t="s">
        <v>1021</v>
      </c>
      <c r="B48" s="1127">
        <v>4610</v>
      </c>
      <c r="C48" s="740" t="s">
        <v>553</v>
      </c>
      <c r="D48" s="452">
        <v>70000</v>
      </c>
      <c r="E48" s="452">
        <v>41621.41</v>
      </c>
      <c r="F48" s="1123">
        <f t="shared" si="1"/>
        <v>59.459157142857144</v>
      </c>
    </row>
    <row r="49" spans="1:6" ht="26.25" customHeight="1">
      <c r="A49" s="1126" t="s">
        <v>1022</v>
      </c>
      <c r="B49" s="1127">
        <v>4700</v>
      </c>
      <c r="C49" s="740" t="s">
        <v>554</v>
      </c>
      <c r="D49" s="452">
        <v>20000</v>
      </c>
      <c r="E49" s="452">
        <v>7236</v>
      </c>
      <c r="F49" s="1123">
        <f t="shared" si="1"/>
        <v>36.18</v>
      </c>
    </row>
    <row r="50" spans="1:6" ht="28.5" customHeight="1" hidden="1">
      <c r="A50" s="1126" t="s">
        <v>1023</v>
      </c>
      <c r="B50" s="1127">
        <v>4740</v>
      </c>
      <c r="C50" s="740" t="s">
        <v>555</v>
      </c>
      <c r="D50" s="452">
        <v>0</v>
      </c>
      <c r="E50" s="452">
        <v>0</v>
      </c>
      <c r="F50" s="1123" t="e">
        <f t="shared" si="1"/>
        <v>#DIV/0!</v>
      </c>
    </row>
    <row r="51" spans="1:6" ht="19.5" customHeight="1" hidden="1">
      <c r="A51" s="1126" t="s">
        <v>1249</v>
      </c>
      <c r="B51" s="1127">
        <v>4750</v>
      </c>
      <c r="C51" s="740" t="s">
        <v>558</v>
      </c>
      <c r="D51" s="452">
        <v>0</v>
      </c>
      <c r="E51" s="452">
        <v>0</v>
      </c>
      <c r="F51" s="1123" t="e">
        <f t="shared" si="1"/>
        <v>#DIV/0!</v>
      </c>
    </row>
    <row r="52" spans="1:6" ht="19.5" customHeight="1">
      <c r="A52" s="1126" t="s">
        <v>1023</v>
      </c>
      <c r="B52" s="1127">
        <v>6070</v>
      </c>
      <c r="C52" s="740" t="s">
        <v>1079</v>
      </c>
      <c r="D52" s="452">
        <v>165987</v>
      </c>
      <c r="E52" s="452">
        <v>114585.21</v>
      </c>
      <c r="F52" s="1123">
        <f t="shared" si="1"/>
        <v>69.03264111044841</v>
      </c>
    </row>
    <row r="53" spans="1:6" ht="27" customHeight="1">
      <c r="A53" s="1126" t="s">
        <v>1249</v>
      </c>
      <c r="B53" s="1127">
        <v>6080</v>
      </c>
      <c r="C53" s="740" t="s">
        <v>584</v>
      </c>
      <c r="D53" s="452">
        <v>196600</v>
      </c>
      <c r="E53" s="452">
        <v>883</v>
      </c>
      <c r="F53" s="1123">
        <f t="shared" si="1"/>
        <v>0.4491353001017294</v>
      </c>
    </row>
    <row r="54" spans="1:6" ht="18" customHeight="1">
      <c r="A54" s="1140" t="s">
        <v>1250</v>
      </c>
      <c r="B54" s="1130"/>
      <c r="C54" s="740" t="s">
        <v>559</v>
      </c>
      <c r="D54" s="452">
        <v>600000</v>
      </c>
      <c r="E54" s="452">
        <v>411347.79</v>
      </c>
      <c r="F54" s="1123">
        <f t="shared" si="1"/>
        <v>68.557965</v>
      </c>
    </row>
    <row r="55" spans="1:6" ht="19.5" customHeight="1">
      <c r="A55" s="201" t="s">
        <v>1045</v>
      </c>
      <c r="B55" s="887"/>
      <c r="C55" s="878" t="s">
        <v>560</v>
      </c>
      <c r="D55" s="875">
        <v>0</v>
      </c>
      <c r="E55" s="875">
        <v>-52987.83</v>
      </c>
      <c r="F55" s="1462" t="s">
        <v>144</v>
      </c>
    </row>
    <row r="56" spans="1:6" s="175" customFormat="1" ht="19.5" customHeight="1">
      <c r="A56" s="1131" t="s">
        <v>561</v>
      </c>
      <c r="B56" s="1132"/>
      <c r="C56" s="1133" t="s">
        <v>145</v>
      </c>
      <c r="D56" s="388">
        <v>172000</v>
      </c>
      <c r="E56" s="388">
        <v>52235</v>
      </c>
      <c r="F56" s="1134" t="s">
        <v>176</v>
      </c>
    </row>
    <row r="57" spans="1:6" s="175" customFormat="1" ht="19.5" customHeight="1">
      <c r="A57" s="1131" t="s">
        <v>591</v>
      </c>
      <c r="B57" s="1132"/>
      <c r="C57" s="1133" t="s">
        <v>590</v>
      </c>
      <c r="D57" s="388">
        <v>200000</v>
      </c>
      <c r="E57" s="388">
        <v>200000</v>
      </c>
      <c r="F57" s="1134" t="s">
        <v>176</v>
      </c>
    </row>
    <row r="58" spans="1:6" s="175" customFormat="1" ht="25.5" customHeight="1" thickBot="1">
      <c r="A58" s="1135" t="s">
        <v>894</v>
      </c>
      <c r="B58" s="1136"/>
      <c r="C58" s="1137" t="s">
        <v>1052</v>
      </c>
      <c r="D58" s="1138">
        <f>D8+D9-D18-D56-D57</f>
        <v>328500</v>
      </c>
      <c r="E58" s="1138">
        <f>E8+E9-E18-E56-E57</f>
        <v>941364.1699999999</v>
      </c>
      <c r="F58" s="1139" t="s">
        <v>176</v>
      </c>
    </row>
    <row r="59" spans="1:6" ht="18" customHeight="1" thickBot="1">
      <c r="A59" s="1770" t="s">
        <v>895</v>
      </c>
      <c r="B59" s="1771"/>
      <c r="C59" s="1772"/>
      <c r="D59" s="1124">
        <f>D18+D56+D57+D58</f>
        <v>10902687</v>
      </c>
      <c r="E59" s="1124">
        <f>E18+E56+E57+E58</f>
        <v>5871878.970000001</v>
      </c>
      <c r="F59" s="1125">
        <f>E59/D59*100</f>
        <v>53.8571727318229</v>
      </c>
    </row>
    <row r="60" spans="3:5" ht="12.75" hidden="1">
      <c r="C60" s="192" t="s">
        <v>36</v>
      </c>
      <c r="D60" s="206">
        <f>D17-D59</f>
        <v>0</v>
      </c>
      <c r="E60" s="206">
        <f>E17-E59</f>
        <v>0</v>
      </c>
    </row>
  </sheetData>
  <sheetProtection password="CF53" sheet="1" formatRows="0" insertColumns="0" insertRows="0" insertHyperlinks="0" deleteColumns="0" deleteRows="0" sort="0" autoFilter="0" pivotTables="0"/>
  <mergeCells count="5">
    <mergeCell ref="A59:C59"/>
    <mergeCell ref="A17:C17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9"/>
  <sheetViews>
    <sheetView view="pageBreakPreview" zoomScaleSheetLayoutView="100" zoomScalePageLayoutView="0" workbookViewId="0" topLeftCell="A1">
      <selection activeCell="A17" sqref="A17:IV19"/>
    </sheetView>
  </sheetViews>
  <sheetFormatPr defaultColWidth="9.00390625" defaultRowHeight="12.75"/>
  <cols>
    <col min="1" max="1" width="14.375" style="149" customWidth="1"/>
    <col min="2" max="2" width="17.00390625" style="149" customWidth="1"/>
    <col min="3" max="3" width="13.75390625" style="146" customWidth="1"/>
    <col min="4" max="4" width="13.875" style="146" customWidth="1"/>
    <col min="5" max="5" width="14.25390625" style="146" customWidth="1"/>
    <col min="6" max="6" width="13.625" style="146" customWidth="1"/>
    <col min="7" max="7" width="17.25390625" style="146" customWidth="1"/>
    <col min="8" max="8" width="16.375" style="146" customWidth="1"/>
    <col min="9" max="16384" width="9.125" style="146" customWidth="1"/>
  </cols>
  <sheetData>
    <row r="1" ht="23.25" customHeight="1">
      <c r="F1" s="147" t="s">
        <v>608</v>
      </c>
    </row>
    <row r="2" ht="23.25" customHeight="1">
      <c r="F2" s="150"/>
    </row>
    <row r="3" spans="1:6" ht="30.75" customHeight="1">
      <c r="A3" s="1548" t="s">
        <v>1331</v>
      </c>
      <c r="B3" s="1548"/>
      <c r="C3" s="1548"/>
      <c r="D3" s="1548"/>
      <c r="E3" s="1548"/>
      <c r="F3" s="1548"/>
    </row>
    <row r="4" ht="16.5" customHeight="1" thickBot="1">
      <c r="F4" s="150" t="s">
        <v>1351</v>
      </c>
    </row>
    <row r="5" spans="1:6" s="166" customFormat="1" ht="18" customHeight="1">
      <c r="A5" s="1581" t="s">
        <v>465</v>
      </c>
      <c r="B5" s="1577" t="s">
        <v>1344</v>
      </c>
      <c r="C5" s="1571" t="s">
        <v>338</v>
      </c>
      <c r="D5" s="1573"/>
      <c r="E5" s="1571" t="s">
        <v>339</v>
      </c>
      <c r="F5" s="1572"/>
    </row>
    <row r="6" spans="1:6" s="166" customFormat="1" ht="18" customHeight="1">
      <c r="A6" s="1582"/>
      <c r="B6" s="1578"/>
      <c r="C6" s="167" t="s">
        <v>466</v>
      </c>
      <c r="D6" s="167" t="s">
        <v>467</v>
      </c>
      <c r="E6" s="167" t="s">
        <v>466</v>
      </c>
      <c r="F6" s="168" t="s">
        <v>467</v>
      </c>
    </row>
    <row r="7" spans="1:6" s="166" customFormat="1" ht="13.5" customHeight="1">
      <c r="A7" s="169">
        <v>1</v>
      </c>
      <c r="B7" s="170">
        <v>2</v>
      </c>
      <c r="C7" s="167">
        <v>3</v>
      </c>
      <c r="D7" s="167">
        <v>4</v>
      </c>
      <c r="E7" s="167">
        <v>5</v>
      </c>
      <c r="F7" s="168">
        <v>6</v>
      </c>
    </row>
    <row r="8" spans="1:6" s="154" customFormat="1" ht="18" customHeight="1">
      <c r="A8" s="1560" t="s">
        <v>468</v>
      </c>
      <c r="B8" s="1561"/>
      <c r="C8" s="1549">
        <v>3359347</v>
      </c>
      <c r="D8" s="1550"/>
      <c r="E8" s="1549">
        <v>5800000</v>
      </c>
      <c r="F8" s="1556"/>
    </row>
    <row r="9" spans="1:10" ht="18" customHeight="1">
      <c r="A9" s="160" t="s">
        <v>913</v>
      </c>
      <c r="B9" s="161" t="s">
        <v>914</v>
      </c>
      <c r="C9" s="162">
        <v>0</v>
      </c>
      <c r="D9" s="162">
        <v>3368616</v>
      </c>
      <c r="E9" s="162">
        <v>0</v>
      </c>
      <c r="F9" s="163">
        <v>0</v>
      </c>
      <c r="H9" s="164"/>
      <c r="I9" s="165"/>
      <c r="J9" s="165"/>
    </row>
    <row r="10" spans="1:10" s="164" customFormat="1" ht="18" customHeight="1">
      <c r="A10" s="171" t="s">
        <v>934</v>
      </c>
      <c r="B10" s="161" t="s">
        <v>935</v>
      </c>
      <c r="C10" s="162">
        <v>0</v>
      </c>
      <c r="D10" s="162">
        <v>8015283</v>
      </c>
      <c r="E10" s="162">
        <v>0</v>
      </c>
      <c r="F10" s="163">
        <v>0</v>
      </c>
      <c r="I10" s="165"/>
      <c r="J10" s="165"/>
    </row>
    <row r="11" spans="1:6" s="154" customFormat="1" ht="18" customHeight="1">
      <c r="A11" s="1567" t="s">
        <v>165</v>
      </c>
      <c r="B11" s="1568"/>
      <c r="C11" s="172">
        <f>SUM(C9:C10)</f>
        <v>0</v>
      </c>
      <c r="D11" s="172">
        <f>SUM(D9:D10)</f>
        <v>11383899</v>
      </c>
      <c r="E11" s="172">
        <f>SUM(E9:E10)</f>
        <v>0</v>
      </c>
      <c r="F11" s="1409">
        <f>SUM(F9:F10)</f>
        <v>0</v>
      </c>
    </row>
    <row r="12" spans="1:6" s="154" customFormat="1" ht="18" customHeight="1">
      <c r="A12" s="1569" t="s">
        <v>469</v>
      </c>
      <c r="B12" s="1570"/>
      <c r="C12" s="1574">
        <f>SUM(C11:D11)</f>
        <v>11383899</v>
      </c>
      <c r="D12" s="1575"/>
      <c r="E12" s="1574">
        <f>SUM(E11:F11)</f>
        <v>0</v>
      </c>
      <c r="F12" s="1576"/>
    </row>
    <row r="13" spans="1:6" s="154" customFormat="1" ht="18" customHeight="1" thickBot="1">
      <c r="A13" s="1579" t="s">
        <v>470</v>
      </c>
      <c r="B13" s="1580"/>
      <c r="C13" s="1551">
        <f>SUM(C8,C12)</f>
        <v>14743246</v>
      </c>
      <c r="D13" s="1552"/>
      <c r="E13" s="1551">
        <f>SUM(E8,E12)</f>
        <v>5800000</v>
      </c>
      <c r="F13" s="1557"/>
    </row>
    <row r="15" spans="1:6" ht="12.75" hidden="1">
      <c r="A15" s="149" t="s">
        <v>359</v>
      </c>
      <c r="C15" s="1547">
        <v>39420572</v>
      </c>
      <c r="D15" s="1547"/>
      <c r="E15" s="1547">
        <v>38800000</v>
      </c>
      <c r="F15" s="1547"/>
    </row>
    <row r="16" spans="1:6" ht="12.75" hidden="1">
      <c r="A16" s="149" t="s">
        <v>36</v>
      </c>
      <c r="C16" s="1547">
        <f>C13-C15</f>
        <v>-24677326</v>
      </c>
      <c r="D16" s="1547"/>
      <c r="E16" s="1547">
        <f>E13-E15</f>
        <v>-33000000</v>
      </c>
      <c r="F16" s="1547"/>
    </row>
    <row r="17" ht="12.75" hidden="1"/>
    <row r="18" spans="2:6" ht="12.75" hidden="1">
      <c r="B18" s="149" t="s">
        <v>272</v>
      </c>
      <c r="C18" s="1547">
        <v>14743246</v>
      </c>
      <c r="D18" s="1547"/>
      <c r="E18" s="1547">
        <v>5800000</v>
      </c>
      <c r="F18" s="1547"/>
    </row>
    <row r="19" spans="2:6" ht="12.75" hidden="1">
      <c r="B19" s="149" t="s">
        <v>625</v>
      </c>
      <c r="C19" s="1547">
        <f>C8-C18</f>
        <v>-11383899</v>
      </c>
      <c r="D19" s="1547"/>
      <c r="E19" s="1547">
        <f>E8-E18</f>
        <v>0</v>
      </c>
      <c r="F19" s="1547"/>
    </row>
  </sheetData>
  <sheetProtection password="CF53" sheet="1" formatRows="0" insertColumns="0" insertRows="0" insertHyperlinks="0" deleteColumns="0" deleteRows="0" sort="0" autoFilter="0" pivotTables="0"/>
  <mergeCells count="23">
    <mergeCell ref="E12:F12"/>
    <mergeCell ref="B5:B6"/>
    <mergeCell ref="A8:B8"/>
    <mergeCell ref="A13:B13"/>
    <mergeCell ref="E13:F13"/>
    <mergeCell ref="C13:D13"/>
    <mergeCell ref="A5:A6"/>
    <mergeCell ref="C19:D19"/>
    <mergeCell ref="E19:F19"/>
    <mergeCell ref="A3:F3"/>
    <mergeCell ref="A11:B11"/>
    <mergeCell ref="A12:B12"/>
    <mergeCell ref="E8:F8"/>
    <mergeCell ref="E5:F5"/>
    <mergeCell ref="C5:D5"/>
    <mergeCell ref="C8:D8"/>
    <mergeCell ref="C12:D12"/>
    <mergeCell ref="E18:F18"/>
    <mergeCell ref="E16:F16"/>
    <mergeCell ref="C15:D15"/>
    <mergeCell ref="E15:F15"/>
    <mergeCell ref="C16:D16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F60"/>
  <sheetViews>
    <sheetView view="pageBreakPreview" zoomScaleSheetLayoutView="100" zoomScalePageLayoutView="0" workbookViewId="0" topLeftCell="A37">
      <selection activeCell="H47" sqref="H47"/>
    </sheetView>
  </sheetViews>
  <sheetFormatPr defaultColWidth="9.00390625" defaultRowHeight="12.75"/>
  <cols>
    <col min="1" max="1" width="3.625" style="174" customWidth="1"/>
    <col min="2" max="2" width="4.375" style="174" customWidth="1"/>
    <col min="3" max="3" width="50.625" style="174" customWidth="1"/>
    <col min="4" max="4" width="11.25390625" style="174" customWidth="1"/>
    <col min="5" max="5" width="11.25390625" style="174" bestFit="1" customWidth="1"/>
    <col min="6" max="6" width="5.625" style="174" customWidth="1"/>
    <col min="7" max="16384" width="9.125" style="174" customWidth="1"/>
  </cols>
  <sheetData>
    <row r="1" spans="5:6" ht="12.75">
      <c r="E1" s="1583" t="s">
        <v>619</v>
      </c>
      <c r="F1" s="1583"/>
    </row>
    <row r="3" spans="1:6" ht="12" customHeight="1">
      <c r="A3" s="1587" t="s">
        <v>582</v>
      </c>
      <c r="B3" s="1587"/>
      <c r="C3" s="1587"/>
      <c r="D3" s="1587"/>
      <c r="E3" s="1587"/>
      <c r="F3" s="1587"/>
    </row>
    <row r="4" spans="1:6" ht="12" customHeight="1">
      <c r="A4" s="173"/>
      <c r="B4" s="173"/>
      <c r="C4" s="173"/>
      <c r="D4" s="173"/>
      <c r="E4" s="173"/>
      <c r="F4" s="173"/>
    </row>
    <row r="5" spans="1:6" ht="14.25" customHeight="1" thickBot="1">
      <c r="A5" s="1775" t="s">
        <v>703</v>
      </c>
      <c r="B5" s="1775"/>
      <c r="C5" s="1775"/>
      <c r="F5" s="192" t="s">
        <v>1351</v>
      </c>
    </row>
    <row r="6" spans="1:6" s="173" customFormat="1" ht="22.5" customHeight="1">
      <c r="A6" s="748" t="s">
        <v>168</v>
      </c>
      <c r="B6" s="749" t="s">
        <v>102</v>
      </c>
      <c r="C6" s="749" t="s">
        <v>1353</v>
      </c>
      <c r="D6" s="750" t="s">
        <v>1354</v>
      </c>
      <c r="E6" s="750" t="s">
        <v>1355</v>
      </c>
      <c r="F6" s="1112" t="s">
        <v>505</v>
      </c>
    </row>
    <row r="7" spans="1:6" s="1117" customFormat="1" ht="12" customHeight="1" thickBot="1">
      <c r="A7" s="1113">
        <v>1</v>
      </c>
      <c r="B7" s="1114">
        <v>2</v>
      </c>
      <c r="C7" s="1114">
        <v>3</v>
      </c>
      <c r="D7" s="1115">
        <v>4</v>
      </c>
      <c r="E7" s="1115">
        <v>5</v>
      </c>
      <c r="F7" s="1116">
        <v>6</v>
      </c>
    </row>
    <row r="8" spans="1:6" s="175" customFormat="1" ht="27" customHeight="1">
      <c r="A8" s="186" t="s">
        <v>506</v>
      </c>
      <c r="B8" s="187"/>
      <c r="C8" s="1118" t="s">
        <v>1051</v>
      </c>
      <c r="D8" s="188">
        <v>95519</v>
      </c>
      <c r="E8" s="188">
        <v>95518.2</v>
      </c>
      <c r="F8" s="1141" t="s">
        <v>176</v>
      </c>
    </row>
    <row r="9" spans="1:6" s="175" customFormat="1" ht="19.5" customHeight="1">
      <c r="A9" s="1120" t="s">
        <v>507</v>
      </c>
      <c r="B9" s="1121"/>
      <c r="C9" s="1121" t="s">
        <v>160</v>
      </c>
      <c r="D9" s="382">
        <f>SUM(D10,D11,D12,D13,D14,D15,D16)</f>
        <v>5554410</v>
      </c>
      <c r="E9" s="382">
        <f>SUM(E10,E11,E12,E13,E14,E15,E16)</f>
        <v>3177400.1799999997</v>
      </c>
      <c r="F9" s="1122">
        <f aca="true" t="shared" si="0" ref="F9:F21">E9/D9*100</f>
        <v>57.204998910775394</v>
      </c>
    </row>
    <row r="10" spans="1:6" ht="53.25" customHeight="1">
      <c r="A10" s="453" t="s">
        <v>171</v>
      </c>
      <c r="B10" s="691" t="s">
        <v>388</v>
      </c>
      <c r="C10" s="740" t="s">
        <v>570</v>
      </c>
      <c r="D10" s="452">
        <v>1500000</v>
      </c>
      <c r="E10" s="452">
        <v>488183.67</v>
      </c>
      <c r="F10" s="1123">
        <f t="shared" si="0"/>
        <v>32.545578</v>
      </c>
    </row>
    <row r="11" spans="1:6" ht="18.75" customHeight="1">
      <c r="A11" s="453" t="s">
        <v>172</v>
      </c>
      <c r="B11" s="691" t="s">
        <v>383</v>
      </c>
      <c r="C11" s="703" t="s">
        <v>508</v>
      </c>
      <c r="D11" s="452">
        <v>2000000</v>
      </c>
      <c r="E11" s="452">
        <v>844416.31</v>
      </c>
      <c r="F11" s="1123">
        <f t="shared" si="0"/>
        <v>42.2208155</v>
      </c>
    </row>
    <row r="12" spans="1:6" ht="18.75" customHeight="1">
      <c r="A12" s="453" t="s">
        <v>249</v>
      </c>
      <c r="B12" s="691" t="s">
        <v>384</v>
      </c>
      <c r="C12" s="703" t="s">
        <v>110</v>
      </c>
      <c r="D12" s="452">
        <v>30000</v>
      </c>
      <c r="E12" s="452">
        <v>29750.19</v>
      </c>
      <c r="F12" s="1123">
        <f t="shared" si="0"/>
        <v>99.1673</v>
      </c>
    </row>
    <row r="13" spans="1:6" ht="18.75" customHeight="1">
      <c r="A13" s="453" t="s">
        <v>256</v>
      </c>
      <c r="B13" s="691" t="s">
        <v>385</v>
      </c>
      <c r="C13" s="703" t="s">
        <v>109</v>
      </c>
      <c r="D13" s="452">
        <v>10000</v>
      </c>
      <c r="E13" s="452">
        <v>780.4</v>
      </c>
      <c r="F13" s="1123">
        <f t="shared" si="0"/>
        <v>7.804</v>
      </c>
    </row>
    <row r="14" spans="1:6" ht="31.5" customHeight="1">
      <c r="A14" s="453" t="s">
        <v>257</v>
      </c>
      <c r="B14" s="691" t="s">
        <v>509</v>
      </c>
      <c r="C14" s="740" t="s">
        <v>898</v>
      </c>
      <c r="D14" s="452">
        <v>2007410</v>
      </c>
      <c r="E14" s="452">
        <v>1807407.4</v>
      </c>
      <c r="F14" s="1123">
        <f t="shared" si="0"/>
        <v>90.03678371633099</v>
      </c>
    </row>
    <row r="15" spans="1:6" ht="18.75" customHeight="1" hidden="1">
      <c r="A15" s="453"/>
      <c r="B15" s="691"/>
      <c r="C15" s="703" t="s">
        <v>510</v>
      </c>
      <c r="D15" s="452">
        <v>0</v>
      </c>
      <c r="E15" s="452">
        <v>0</v>
      </c>
      <c r="F15" s="1123" t="e">
        <f t="shared" si="0"/>
        <v>#DIV/0!</v>
      </c>
    </row>
    <row r="16" spans="1:6" ht="17.25" customHeight="1" thickBot="1">
      <c r="A16" s="453" t="s">
        <v>258</v>
      </c>
      <c r="B16" s="691"/>
      <c r="C16" s="703" t="s">
        <v>1231</v>
      </c>
      <c r="D16" s="452">
        <v>7000</v>
      </c>
      <c r="E16" s="452">
        <v>6862.21</v>
      </c>
      <c r="F16" s="1123">
        <f t="shared" si="0"/>
        <v>98.03157142857143</v>
      </c>
    </row>
    <row r="17" spans="1:6" s="175" customFormat="1" ht="18.75" customHeight="1" thickBot="1">
      <c r="A17" s="1773" t="s">
        <v>511</v>
      </c>
      <c r="B17" s="1774"/>
      <c r="C17" s="1774"/>
      <c r="D17" s="1124">
        <f>D9+D8</f>
        <v>5649929</v>
      </c>
      <c r="E17" s="1124">
        <f>E9+E8</f>
        <v>3272918.38</v>
      </c>
      <c r="F17" s="1125">
        <f t="shared" si="0"/>
        <v>57.92848688895028</v>
      </c>
    </row>
    <row r="18" spans="1:6" s="175" customFormat="1" ht="18.75" customHeight="1">
      <c r="A18" s="186" t="s">
        <v>513</v>
      </c>
      <c r="B18" s="187"/>
      <c r="C18" s="187" t="s">
        <v>514</v>
      </c>
      <c r="D18" s="188">
        <f>SUM(D19:D56)</f>
        <v>5559198</v>
      </c>
      <c r="E18" s="188">
        <f>SUM(E19:E56)</f>
        <v>2931224.9</v>
      </c>
      <c r="F18" s="1142">
        <f t="shared" si="0"/>
        <v>52.7274779563527</v>
      </c>
    </row>
    <row r="19" spans="1:6" ht="18.75" customHeight="1">
      <c r="A19" s="453" t="s">
        <v>171</v>
      </c>
      <c r="B19" s="1127">
        <v>3020</v>
      </c>
      <c r="C19" s="703" t="s">
        <v>515</v>
      </c>
      <c r="D19" s="452">
        <v>15000</v>
      </c>
      <c r="E19" s="452">
        <v>4712.58</v>
      </c>
      <c r="F19" s="1123">
        <f t="shared" si="0"/>
        <v>31.4172</v>
      </c>
    </row>
    <row r="20" spans="1:6" ht="18.75" customHeight="1">
      <c r="A20" s="453" t="s">
        <v>172</v>
      </c>
      <c r="B20" s="1127">
        <v>4010</v>
      </c>
      <c r="C20" s="703" t="s">
        <v>516</v>
      </c>
      <c r="D20" s="452">
        <v>2080000</v>
      </c>
      <c r="E20" s="452">
        <v>896785.42</v>
      </c>
      <c r="F20" s="1123">
        <f t="shared" si="0"/>
        <v>43.11468365384615</v>
      </c>
    </row>
    <row r="21" spans="1:6" ht="18.75" customHeight="1">
      <c r="A21" s="453" t="s">
        <v>249</v>
      </c>
      <c r="B21" s="1127">
        <v>4040</v>
      </c>
      <c r="C21" s="703" t="s">
        <v>517</v>
      </c>
      <c r="D21" s="452">
        <v>160000</v>
      </c>
      <c r="E21" s="452">
        <v>1210.88</v>
      </c>
      <c r="F21" s="1123">
        <f t="shared" si="0"/>
        <v>0.7568000000000001</v>
      </c>
    </row>
    <row r="22" spans="1:6" ht="18.75" customHeight="1">
      <c r="A22" s="453" t="s">
        <v>256</v>
      </c>
      <c r="B22" s="1127">
        <v>4110</v>
      </c>
      <c r="C22" s="703" t="s">
        <v>523</v>
      </c>
      <c r="D22" s="452">
        <v>357700</v>
      </c>
      <c r="E22" s="452">
        <v>185669.57</v>
      </c>
      <c r="F22" s="1123">
        <f aca="true" t="shared" si="1" ref="F22:F45">E22/D22*100</f>
        <v>51.90650545149567</v>
      </c>
    </row>
    <row r="23" spans="1:6" ht="18.75" customHeight="1">
      <c r="A23" s="453" t="s">
        <v>257</v>
      </c>
      <c r="B23" s="1127">
        <v>4118</v>
      </c>
      <c r="C23" s="1513" t="s">
        <v>951</v>
      </c>
      <c r="D23" s="452">
        <v>200</v>
      </c>
      <c r="E23" s="452">
        <v>70.12</v>
      </c>
      <c r="F23" s="1123">
        <f t="shared" si="1"/>
        <v>35.06</v>
      </c>
    </row>
    <row r="24" spans="1:6" ht="18.75" customHeight="1">
      <c r="A24" s="453" t="s">
        <v>258</v>
      </c>
      <c r="B24" s="1127">
        <v>4119</v>
      </c>
      <c r="C24" s="1513" t="s">
        <v>951</v>
      </c>
      <c r="D24" s="452">
        <v>100</v>
      </c>
      <c r="E24" s="452">
        <v>12.38</v>
      </c>
      <c r="F24" s="1123">
        <f t="shared" si="1"/>
        <v>12.38</v>
      </c>
    </row>
    <row r="25" spans="1:6" ht="18.75" customHeight="1">
      <c r="A25" s="453" t="s">
        <v>330</v>
      </c>
      <c r="B25" s="1127">
        <v>4120</v>
      </c>
      <c r="C25" s="703" t="s">
        <v>524</v>
      </c>
      <c r="D25" s="452">
        <v>46800</v>
      </c>
      <c r="E25" s="452">
        <v>17982.24</v>
      </c>
      <c r="F25" s="1123">
        <f t="shared" si="1"/>
        <v>38.423589743589744</v>
      </c>
    </row>
    <row r="26" spans="1:6" ht="30" customHeight="1">
      <c r="A26" s="453" t="s">
        <v>331</v>
      </c>
      <c r="B26" s="1127">
        <v>4140</v>
      </c>
      <c r="C26" s="740" t="s">
        <v>583</v>
      </c>
      <c r="D26" s="452">
        <v>12000</v>
      </c>
      <c r="E26" s="452">
        <v>8335</v>
      </c>
      <c r="F26" s="1123">
        <f t="shared" si="1"/>
        <v>69.45833333333333</v>
      </c>
    </row>
    <row r="27" spans="1:6" ht="18.75" customHeight="1">
      <c r="A27" s="453" t="s">
        <v>259</v>
      </c>
      <c r="B27" s="1127">
        <v>4170</v>
      </c>
      <c r="C27" s="703" t="s">
        <v>525</v>
      </c>
      <c r="D27" s="452">
        <v>666200</v>
      </c>
      <c r="E27" s="452">
        <v>244847.78</v>
      </c>
      <c r="F27" s="1123">
        <f t="shared" si="1"/>
        <v>36.75289402581807</v>
      </c>
    </row>
    <row r="28" spans="1:6" ht="18.75" customHeight="1">
      <c r="A28" s="453" t="s">
        <v>261</v>
      </c>
      <c r="B28" s="1127">
        <v>4178</v>
      </c>
      <c r="C28" s="1513" t="s">
        <v>525</v>
      </c>
      <c r="D28" s="452">
        <v>3000</v>
      </c>
      <c r="E28" s="452">
        <v>2312</v>
      </c>
      <c r="F28" s="1123">
        <f t="shared" si="1"/>
        <v>77.06666666666668</v>
      </c>
    </row>
    <row r="29" spans="1:6" ht="18.75" customHeight="1">
      <c r="A29" s="453" t="s">
        <v>332</v>
      </c>
      <c r="B29" s="1127">
        <v>4179</v>
      </c>
      <c r="C29" s="1513" t="s">
        <v>525</v>
      </c>
      <c r="D29" s="452">
        <v>800</v>
      </c>
      <c r="E29" s="452">
        <v>408</v>
      </c>
      <c r="F29" s="1123">
        <f t="shared" si="1"/>
        <v>51</v>
      </c>
    </row>
    <row r="30" spans="1:6" ht="18.75" customHeight="1">
      <c r="A30" s="453" t="s">
        <v>262</v>
      </c>
      <c r="B30" s="1127">
        <v>4210</v>
      </c>
      <c r="C30" s="703" t="s">
        <v>526</v>
      </c>
      <c r="D30" s="452">
        <v>203788</v>
      </c>
      <c r="E30" s="452">
        <v>197059.83</v>
      </c>
      <c r="F30" s="1123">
        <f t="shared" si="1"/>
        <v>96.69844642471588</v>
      </c>
    </row>
    <row r="31" spans="1:6" ht="18.75" customHeight="1">
      <c r="A31" s="453" t="s">
        <v>263</v>
      </c>
      <c r="B31" s="1127">
        <v>4218</v>
      </c>
      <c r="C31" s="1513" t="s">
        <v>526</v>
      </c>
      <c r="D31" s="452">
        <v>5000</v>
      </c>
      <c r="E31" s="452">
        <v>3530.2</v>
      </c>
      <c r="F31" s="1123">
        <f t="shared" si="1"/>
        <v>70.604</v>
      </c>
    </row>
    <row r="32" spans="1:6" ht="18.75" customHeight="1">
      <c r="A32" s="453" t="s">
        <v>333</v>
      </c>
      <c r="B32" s="1127">
        <v>4219</v>
      </c>
      <c r="C32" s="1513" t="s">
        <v>526</v>
      </c>
      <c r="D32" s="452">
        <v>1000</v>
      </c>
      <c r="E32" s="452">
        <v>622.97</v>
      </c>
      <c r="F32" s="1123">
        <f t="shared" si="1"/>
        <v>62.297000000000004</v>
      </c>
    </row>
    <row r="33" spans="1:6" ht="18.75" customHeight="1">
      <c r="A33" s="453" t="s">
        <v>264</v>
      </c>
      <c r="B33" s="1127">
        <v>4260</v>
      </c>
      <c r="C33" s="703" t="s">
        <v>527</v>
      </c>
      <c r="D33" s="452">
        <v>552610</v>
      </c>
      <c r="E33" s="452">
        <v>464981.44</v>
      </c>
      <c r="F33" s="1123">
        <f t="shared" si="1"/>
        <v>84.14278424205136</v>
      </c>
    </row>
    <row r="34" spans="1:6" ht="18.75" customHeight="1">
      <c r="A34" s="453" t="s">
        <v>265</v>
      </c>
      <c r="B34" s="1127">
        <v>4270</v>
      </c>
      <c r="C34" s="703" t="s">
        <v>528</v>
      </c>
      <c r="D34" s="452">
        <v>25200</v>
      </c>
      <c r="E34" s="452">
        <v>0</v>
      </c>
      <c r="F34" s="1123">
        <f t="shared" si="1"/>
        <v>0</v>
      </c>
    </row>
    <row r="35" spans="1:6" ht="18.75" customHeight="1">
      <c r="A35" s="453" t="s">
        <v>266</v>
      </c>
      <c r="B35" s="1127">
        <v>4280</v>
      </c>
      <c r="C35" s="703" t="s">
        <v>581</v>
      </c>
      <c r="D35" s="452">
        <v>3000</v>
      </c>
      <c r="E35" s="452">
        <v>1885</v>
      </c>
      <c r="F35" s="1123">
        <f t="shared" si="1"/>
        <v>62.83333333333333</v>
      </c>
    </row>
    <row r="36" spans="1:6" ht="18.75" customHeight="1">
      <c r="A36" s="453" t="s">
        <v>267</v>
      </c>
      <c r="B36" s="1127">
        <v>4300</v>
      </c>
      <c r="C36" s="703" t="s">
        <v>536</v>
      </c>
      <c r="D36" s="452">
        <v>298000</v>
      </c>
      <c r="E36" s="452">
        <v>245296.01</v>
      </c>
      <c r="F36" s="1123">
        <f t="shared" si="1"/>
        <v>82.31409731543624</v>
      </c>
    </row>
    <row r="37" spans="1:6" ht="18.75" customHeight="1">
      <c r="A37" s="453" t="s">
        <v>274</v>
      </c>
      <c r="B37" s="1127">
        <v>4308</v>
      </c>
      <c r="C37" s="1513" t="s">
        <v>536</v>
      </c>
      <c r="D37" s="452">
        <v>4000</v>
      </c>
      <c r="E37" s="452">
        <v>3091.36</v>
      </c>
      <c r="F37" s="1123">
        <f t="shared" si="1"/>
        <v>77.284</v>
      </c>
    </row>
    <row r="38" spans="1:6" ht="18.75" customHeight="1">
      <c r="A38" s="453" t="s">
        <v>275</v>
      </c>
      <c r="B38" s="1127">
        <v>4309</v>
      </c>
      <c r="C38" s="1513" t="s">
        <v>536</v>
      </c>
      <c r="D38" s="452">
        <v>1000</v>
      </c>
      <c r="E38" s="452">
        <v>545.54</v>
      </c>
      <c r="F38" s="1123">
        <f t="shared" si="1"/>
        <v>54.55399999999999</v>
      </c>
    </row>
    <row r="39" spans="1:6" ht="18.75" customHeight="1">
      <c r="A39" s="453" t="s">
        <v>276</v>
      </c>
      <c r="B39" s="1127">
        <v>4350</v>
      </c>
      <c r="C39" s="703" t="s">
        <v>537</v>
      </c>
      <c r="D39" s="452">
        <v>6000</v>
      </c>
      <c r="E39" s="452">
        <v>5350.5</v>
      </c>
      <c r="F39" s="1123">
        <f t="shared" si="1"/>
        <v>89.17500000000001</v>
      </c>
    </row>
    <row r="40" spans="1:6" ht="27.75" customHeight="1">
      <c r="A40" s="453" t="s">
        <v>277</v>
      </c>
      <c r="B40" s="1127">
        <v>4360</v>
      </c>
      <c r="C40" s="740" t="s">
        <v>538</v>
      </c>
      <c r="D40" s="452">
        <v>13000</v>
      </c>
      <c r="E40" s="452">
        <v>5048.18</v>
      </c>
      <c r="F40" s="1123">
        <f t="shared" si="1"/>
        <v>38.83215384615385</v>
      </c>
    </row>
    <row r="41" spans="1:6" ht="30.75" customHeight="1">
      <c r="A41" s="453" t="s">
        <v>132</v>
      </c>
      <c r="B41" s="1127">
        <v>4370</v>
      </c>
      <c r="C41" s="740" t="s">
        <v>539</v>
      </c>
      <c r="D41" s="452">
        <v>15000</v>
      </c>
      <c r="E41" s="452">
        <v>6991.29</v>
      </c>
      <c r="F41" s="1123">
        <f t="shared" si="1"/>
        <v>46.6086</v>
      </c>
    </row>
    <row r="42" spans="1:6" ht="18.75" customHeight="1">
      <c r="A42" s="453" t="s">
        <v>133</v>
      </c>
      <c r="B42" s="1127">
        <v>4390</v>
      </c>
      <c r="C42" s="703" t="s">
        <v>587</v>
      </c>
      <c r="D42" s="452">
        <v>8000</v>
      </c>
      <c r="E42" s="452">
        <v>2000</v>
      </c>
      <c r="F42" s="1123">
        <f t="shared" si="1"/>
        <v>25</v>
      </c>
    </row>
    <row r="43" spans="1:6" ht="27.75" customHeight="1" hidden="1">
      <c r="A43" s="453" t="s">
        <v>266</v>
      </c>
      <c r="B43" s="1127">
        <v>4400</v>
      </c>
      <c r="C43" s="740" t="s">
        <v>540</v>
      </c>
      <c r="D43" s="452">
        <v>0</v>
      </c>
      <c r="E43" s="452">
        <v>0</v>
      </c>
      <c r="F43" s="1123" t="e">
        <f t="shared" si="1"/>
        <v>#DIV/0!</v>
      </c>
    </row>
    <row r="44" spans="1:6" ht="18.75" customHeight="1">
      <c r="A44" s="453" t="s">
        <v>134</v>
      </c>
      <c r="B44" s="1127">
        <v>4410</v>
      </c>
      <c r="C44" s="703" t="s">
        <v>541</v>
      </c>
      <c r="D44" s="452">
        <v>18000</v>
      </c>
      <c r="E44" s="452">
        <v>10034.95</v>
      </c>
      <c r="F44" s="1123">
        <f t="shared" si="1"/>
        <v>55.74972222222223</v>
      </c>
    </row>
    <row r="45" spans="1:6" ht="18.75" customHeight="1">
      <c r="A45" s="453" t="s">
        <v>135</v>
      </c>
      <c r="B45" s="1127">
        <v>4420</v>
      </c>
      <c r="C45" s="703" t="s">
        <v>588</v>
      </c>
      <c r="D45" s="452">
        <v>3000</v>
      </c>
      <c r="E45" s="452">
        <v>0</v>
      </c>
      <c r="F45" s="1123">
        <f t="shared" si="1"/>
        <v>0</v>
      </c>
    </row>
    <row r="46" spans="1:6" ht="18.75" customHeight="1">
      <c r="A46" s="453" t="s">
        <v>1021</v>
      </c>
      <c r="B46" s="1127">
        <v>4430</v>
      </c>
      <c r="C46" s="703" t="s">
        <v>542</v>
      </c>
      <c r="D46" s="452">
        <v>50000</v>
      </c>
      <c r="E46" s="452">
        <v>35236.82</v>
      </c>
      <c r="F46" s="1123">
        <f aca="true" t="shared" si="2" ref="F46:F56">E46/D46*100</f>
        <v>70.47364</v>
      </c>
    </row>
    <row r="47" spans="1:6" ht="18.75" customHeight="1">
      <c r="A47" s="453" t="s">
        <v>1022</v>
      </c>
      <c r="B47" s="1127">
        <v>4440</v>
      </c>
      <c r="C47" s="703" t="s">
        <v>543</v>
      </c>
      <c r="D47" s="452">
        <v>57800</v>
      </c>
      <c r="E47" s="452">
        <v>44796</v>
      </c>
      <c r="F47" s="1123">
        <f t="shared" si="2"/>
        <v>77.50173010380624</v>
      </c>
    </row>
    <row r="48" spans="1:6" ht="18.75" customHeight="1">
      <c r="A48" s="453" t="s">
        <v>1023</v>
      </c>
      <c r="B48" s="1127">
        <v>4480</v>
      </c>
      <c r="C48" s="703" t="s">
        <v>120</v>
      </c>
      <c r="D48" s="452">
        <v>930000</v>
      </c>
      <c r="E48" s="452">
        <v>530945</v>
      </c>
      <c r="F48" s="1123">
        <f t="shared" si="2"/>
        <v>57.090860215053766</v>
      </c>
    </row>
    <row r="49" spans="1:6" ht="30.75" customHeight="1" hidden="1">
      <c r="A49" s="453" t="s">
        <v>277</v>
      </c>
      <c r="B49" s="1127">
        <v>4500</v>
      </c>
      <c r="C49" s="740" t="s">
        <v>627</v>
      </c>
      <c r="D49" s="452">
        <v>0</v>
      </c>
      <c r="E49" s="452">
        <v>0</v>
      </c>
      <c r="F49" s="1123" t="e">
        <f t="shared" si="2"/>
        <v>#DIV/0!</v>
      </c>
    </row>
    <row r="50" spans="1:6" ht="18.75" customHeight="1">
      <c r="A50" s="453" t="s">
        <v>1249</v>
      </c>
      <c r="B50" s="1127">
        <v>4520</v>
      </c>
      <c r="C50" s="740" t="s">
        <v>589</v>
      </c>
      <c r="D50" s="452">
        <v>5000</v>
      </c>
      <c r="E50" s="452">
        <v>4142.93</v>
      </c>
      <c r="F50" s="1123">
        <f t="shared" si="2"/>
        <v>82.85860000000001</v>
      </c>
    </row>
    <row r="51" spans="1:6" ht="18.75" customHeight="1">
      <c r="A51" s="453" t="s">
        <v>1250</v>
      </c>
      <c r="B51" s="1127">
        <v>4610</v>
      </c>
      <c r="C51" s="740" t="s">
        <v>553</v>
      </c>
      <c r="D51" s="452">
        <v>8000</v>
      </c>
      <c r="E51" s="452">
        <v>2216.03</v>
      </c>
      <c r="F51" s="1123">
        <f t="shared" si="2"/>
        <v>27.700375000000005</v>
      </c>
    </row>
    <row r="52" spans="1:6" ht="27" customHeight="1">
      <c r="A52" s="453" t="s">
        <v>1045</v>
      </c>
      <c r="B52" s="1127">
        <v>4700</v>
      </c>
      <c r="C52" s="740" t="s">
        <v>554</v>
      </c>
      <c r="D52" s="452">
        <v>10000</v>
      </c>
      <c r="E52" s="452">
        <v>5104.88</v>
      </c>
      <c r="F52" s="1123">
        <f t="shared" si="2"/>
        <v>51.04880000000001</v>
      </c>
    </row>
    <row r="53" spans="1:6" ht="30" customHeight="1" hidden="1">
      <c r="A53" s="453" t="s">
        <v>1021</v>
      </c>
      <c r="B53" s="1127">
        <v>4740</v>
      </c>
      <c r="C53" s="740" t="s">
        <v>555</v>
      </c>
      <c r="D53" s="452">
        <v>0</v>
      </c>
      <c r="E53" s="452">
        <v>0</v>
      </c>
      <c r="F53" s="1123" t="e">
        <f t="shared" si="2"/>
        <v>#DIV/0!</v>
      </c>
    </row>
    <row r="54" spans="1:6" ht="18.75" customHeight="1" hidden="1">
      <c r="A54" s="201" t="s">
        <v>134</v>
      </c>
      <c r="B54" s="877">
        <v>6070</v>
      </c>
      <c r="C54" s="878" t="s">
        <v>1079</v>
      </c>
      <c r="D54" s="875">
        <v>0</v>
      </c>
      <c r="E54" s="875">
        <v>0</v>
      </c>
      <c r="F54" s="1462" t="s">
        <v>144</v>
      </c>
    </row>
    <row r="55" spans="1:6" ht="18.75" customHeight="1" hidden="1">
      <c r="A55" s="1143"/>
      <c r="B55" s="1144"/>
      <c r="C55" s="1145" t="s">
        <v>559</v>
      </c>
      <c r="D55" s="456">
        <v>0</v>
      </c>
      <c r="E55" s="456">
        <v>0</v>
      </c>
      <c r="F55" s="1123" t="e">
        <f t="shared" si="2"/>
        <v>#DIV/0!</v>
      </c>
    </row>
    <row r="56" spans="1:6" ht="18.75" customHeight="1" hidden="1">
      <c r="A56" s="201"/>
      <c r="B56" s="887"/>
      <c r="C56" s="887" t="s">
        <v>560</v>
      </c>
      <c r="D56" s="875">
        <v>0</v>
      </c>
      <c r="E56" s="875">
        <v>0</v>
      </c>
      <c r="F56" s="879" t="e">
        <f t="shared" si="2"/>
        <v>#DIV/0!</v>
      </c>
    </row>
    <row r="57" spans="1:6" s="175" customFormat="1" ht="22.5" customHeight="1">
      <c r="A57" s="1131" t="s">
        <v>561</v>
      </c>
      <c r="B57" s="1132"/>
      <c r="C57" s="1132" t="s">
        <v>590</v>
      </c>
      <c r="D57" s="388">
        <v>0</v>
      </c>
      <c r="E57" s="388">
        <v>0</v>
      </c>
      <c r="F57" s="1456">
        <v>0</v>
      </c>
    </row>
    <row r="58" spans="1:6" s="175" customFormat="1" ht="30.75" customHeight="1" thickBot="1">
      <c r="A58" s="1414" t="s">
        <v>591</v>
      </c>
      <c r="B58" s="1453"/>
      <c r="C58" s="1454" t="s">
        <v>1052</v>
      </c>
      <c r="D58" s="895">
        <f>D8+D9-D18</f>
        <v>90731</v>
      </c>
      <c r="E58" s="895">
        <f>E8+E9-E18</f>
        <v>341693.48</v>
      </c>
      <c r="F58" s="1455" t="s">
        <v>176</v>
      </c>
    </row>
    <row r="59" spans="1:6" ht="18.75" customHeight="1" thickBot="1">
      <c r="A59" s="1773" t="s">
        <v>594</v>
      </c>
      <c r="B59" s="1774"/>
      <c r="C59" s="1774"/>
      <c r="D59" s="1124">
        <f>D57+D58+D18</f>
        <v>5649929</v>
      </c>
      <c r="E59" s="1124">
        <f>E57+E58+E18</f>
        <v>3272918.38</v>
      </c>
      <c r="F59" s="1125">
        <f>E59/D59*100</f>
        <v>57.92848688895028</v>
      </c>
    </row>
    <row r="60" spans="3:5" ht="12.75" hidden="1">
      <c r="C60" s="192" t="s">
        <v>36</v>
      </c>
      <c r="D60" s="206">
        <f>D17-D59</f>
        <v>0</v>
      </c>
      <c r="E60" s="206">
        <f>E17-E59</f>
        <v>0</v>
      </c>
    </row>
  </sheetData>
  <sheetProtection password="CF53" sheet="1" formatRows="0" insertColumns="0" insertRows="0" insertHyperlinks="0" deleteColumns="0" deleteRows="0" sort="0" autoFilter="0" pivotTables="0"/>
  <mergeCells count="5">
    <mergeCell ref="A17:C17"/>
    <mergeCell ref="A59:C59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F40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5.75" customHeight="1"/>
  <cols>
    <col min="1" max="1" width="4.875" style="6" customWidth="1"/>
    <col min="2" max="2" width="52.75390625" style="1" customWidth="1"/>
    <col min="3" max="4" width="11.75390625" style="1" customWidth="1"/>
    <col min="5" max="5" width="5.375" style="1" customWidth="1"/>
    <col min="6" max="16384" width="9.125" style="1" customWidth="1"/>
  </cols>
  <sheetData>
    <row r="1" spans="1:5" s="174" customFormat="1" ht="15.75" customHeight="1">
      <c r="A1" s="191"/>
      <c r="D1" s="1583" t="s">
        <v>618</v>
      </c>
      <c r="E1" s="1583"/>
    </row>
    <row r="2" s="174" customFormat="1" ht="15.75" customHeight="1">
      <c r="A2" s="191"/>
    </row>
    <row r="3" spans="1:5" s="174" customFormat="1" ht="15.75" customHeight="1">
      <c r="A3" s="1587" t="s">
        <v>35</v>
      </c>
      <c r="B3" s="1587"/>
      <c r="C3" s="1587"/>
      <c r="D3" s="1587"/>
      <c r="E3" s="1587"/>
    </row>
    <row r="4" s="174" customFormat="1" ht="17.25" customHeight="1">
      <c r="A4" s="191"/>
    </row>
    <row r="5" spans="1:5" s="174" customFormat="1" ht="12.75" customHeight="1" thickBot="1">
      <c r="A5" s="1775" t="s">
        <v>704</v>
      </c>
      <c r="B5" s="1775"/>
      <c r="E5" s="192" t="s">
        <v>1351</v>
      </c>
    </row>
    <row r="6" spans="1:5" s="173" customFormat="1" ht="15.75" customHeight="1">
      <c r="A6" s="1157" t="s">
        <v>168</v>
      </c>
      <c r="B6" s="239" t="s">
        <v>1353</v>
      </c>
      <c r="C6" s="239" t="s">
        <v>1354</v>
      </c>
      <c r="D6" s="239" t="s">
        <v>1355</v>
      </c>
      <c r="E6" s="1146" t="s">
        <v>1356</v>
      </c>
    </row>
    <row r="7" spans="1:5" s="175" customFormat="1" ht="10.5" customHeight="1" thickBot="1">
      <c r="A7" s="1158">
        <v>1</v>
      </c>
      <c r="B7" s="1159">
        <v>2</v>
      </c>
      <c r="C7" s="1159">
        <v>3</v>
      </c>
      <c r="D7" s="1159">
        <v>4</v>
      </c>
      <c r="E7" s="1147">
        <v>5</v>
      </c>
    </row>
    <row r="8" spans="1:5" s="175" customFormat="1" ht="19.5" customHeight="1">
      <c r="A8" s="198" t="s">
        <v>506</v>
      </c>
      <c r="B8" s="1164" t="s">
        <v>180</v>
      </c>
      <c r="C8" s="1161">
        <v>152616.29</v>
      </c>
      <c r="D8" s="1161">
        <v>152616.29</v>
      </c>
      <c r="E8" s="1119" t="s">
        <v>176</v>
      </c>
    </row>
    <row r="9" spans="1:5" s="174" customFormat="1" ht="19.5" customHeight="1">
      <c r="A9" s="1457" t="s">
        <v>507</v>
      </c>
      <c r="B9" s="1458" t="s">
        <v>160</v>
      </c>
      <c r="C9" s="1459">
        <f>SUM(C10,C13,C14,C15)</f>
        <v>2627165.18</v>
      </c>
      <c r="D9" s="1459">
        <f>SUM(D10,D13,D14,D15)</f>
        <v>2000280.49</v>
      </c>
      <c r="E9" s="1122">
        <f aca="true" t="shared" si="0" ref="E9:E15">D9/C9*100</f>
        <v>76.13836028384023</v>
      </c>
    </row>
    <row r="10" spans="1:5" s="174" customFormat="1" ht="19.5" customHeight="1">
      <c r="A10" s="1143" t="s">
        <v>171</v>
      </c>
      <c r="B10" s="1130" t="s">
        <v>1402</v>
      </c>
      <c r="C10" s="1148">
        <f>SUM(C11,C12)</f>
        <v>1926478</v>
      </c>
      <c r="D10" s="1148">
        <f>SUM(D11,D12)</f>
        <v>1643903</v>
      </c>
      <c r="E10" s="1123">
        <f t="shared" si="0"/>
        <v>85.33204116527673</v>
      </c>
    </row>
    <row r="11" spans="1:5" s="221" customFormat="1" ht="19.5" customHeight="1">
      <c r="A11" s="1149" t="s">
        <v>4</v>
      </c>
      <c r="B11" s="1150" t="s">
        <v>596</v>
      </c>
      <c r="C11" s="1151">
        <v>1676478</v>
      </c>
      <c r="D11" s="1151">
        <v>1393903</v>
      </c>
      <c r="E11" s="1152">
        <f t="shared" si="0"/>
        <v>83.14472364087092</v>
      </c>
    </row>
    <row r="12" spans="1:5" s="221" customFormat="1" ht="19.5" customHeight="1">
      <c r="A12" s="1149" t="s">
        <v>5</v>
      </c>
      <c r="B12" s="1150" t="s">
        <v>597</v>
      </c>
      <c r="C12" s="1535">
        <v>250000</v>
      </c>
      <c r="D12" s="1535">
        <v>250000</v>
      </c>
      <c r="E12" s="1152">
        <f t="shared" si="0"/>
        <v>100</v>
      </c>
    </row>
    <row r="13" spans="1:6" s="174" customFormat="1" ht="19.5" customHeight="1">
      <c r="A13" s="1143" t="s">
        <v>172</v>
      </c>
      <c r="B13" s="1130" t="s">
        <v>1223</v>
      </c>
      <c r="C13" s="1148">
        <v>686210</v>
      </c>
      <c r="D13" s="1148">
        <v>351377.49</v>
      </c>
      <c r="E13" s="1123">
        <f t="shared" si="0"/>
        <v>51.205533291557984</v>
      </c>
      <c r="F13" s="869"/>
    </row>
    <row r="14" spans="1:6" s="174" customFormat="1" ht="19.5" customHeight="1" thickBot="1">
      <c r="A14" s="1143" t="s">
        <v>249</v>
      </c>
      <c r="B14" s="1338" t="s">
        <v>551</v>
      </c>
      <c r="C14" s="1148">
        <v>14477.18</v>
      </c>
      <c r="D14" s="1148">
        <v>5000</v>
      </c>
      <c r="E14" s="1123">
        <f t="shared" si="0"/>
        <v>34.53711289077016</v>
      </c>
      <c r="F14" s="869"/>
    </row>
    <row r="15" spans="1:5" s="174" customFormat="1" ht="19.5" customHeight="1" hidden="1" thickBot="1">
      <c r="A15" s="1153" t="s">
        <v>256</v>
      </c>
      <c r="B15" s="1154" t="s">
        <v>823</v>
      </c>
      <c r="C15" s="1155">
        <v>0</v>
      </c>
      <c r="D15" s="1155">
        <v>0</v>
      </c>
      <c r="E15" s="1156" t="e">
        <f t="shared" si="0"/>
        <v>#DIV/0!</v>
      </c>
    </row>
    <row r="16" spans="1:5" s="175" customFormat="1" ht="19.5" customHeight="1" thickBot="1">
      <c r="A16" s="1773" t="s">
        <v>511</v>
      </c>
      <c r="B16" s="1774"/>
      <c r="C16" s="1162">
        <f>SUM(C8,C9)</f>
        <v>2779781.47</v>
      </c>
      <c r="D16" s="1162">
        <f>SUM(D8,D9)</f>
        <v>2152896.78</v>
      </c>
      <c r="E16" s="1125">
        <f aca="true" t="shared" si="1" ref="E16:E30">D16/C16*100</f>
        <v>77.44841827440484</v>
      </c>
    </row>
    <row r="17" spans="1:5" s="175" customFormat="1" ht="19.5" customHeight="1">
      <c r="A17" s="198" t="s">
        <v>513</v>
      </c>
      <c r="B17" s="1160" t="s">
        <v>1048</v>
      </c>
      <c r="C17" s="1161">
        <f>SUM(C18,C19,C20,C21,C22,C23,C24,C25,C26,C27,C28,C29,C30)</f>
        <v>2763155.18</v>
      </c>
      <c r="D17" s="1161">
        <f>SUM(D18,D19,D20,D21,D22,D23,D24,D25,D26,D27,D28,D29,D30)</f>
        <v>1566174.2399999998</v>
      </c>
      <c r="E17" s="1142">
        <f t="shared" si="1"/>
        <v>56.680647230243494</v>
      </c>
    </row>
    <row r="18" spans="1:5" s="174" customFormat="1" ht="19.5" customHeight="1">
      <c r="A18" s="1143" t="s">
        <v>171</v>
      </c>
      <c r="B18" s="1145" t="s">
        <v>516</v>
      </c>
      <c r="C18" s="1148">
        <v>1245140</v>
      </c>
      <c r="D18" s="1148">
        <v>598337.59</v>
      </c>
      <c r="E18" s="1123">
        <f t="shared" si="1"/>
        <v>48.05384053198837</v>
      </c>
    </row>
    <row r="19" spans="1:5" s="174" customFormat="1" ht="19.5" customHeight="1">
      <c r="A19" s="1143" t="s">
        <v>172</v>
      </c>
      <c r="B19" s="1145" t="s">
        <v>1133</v>
      </c>
      <c r="C19" s="1148">
        <v>225432</v>
      </c>
      <c r="D19" s="1148">
        <v>115111.9</v>
      </c>
      <c r="E19" s="1123">
        <f t="shared" si="1"/>
        <v>51.062803861031256</v>
      </c>
    </row>
    <row r="20" spans="1:5" s="174" customFormat="1" ht="19.5" customHeight="1">
      <c r="A20" s="1143" t="s">
        <v>249</v>
      </c>
      <c r="B20" s="1145" t="s">
        <v>543</v>
      </c>
      <c r="C20" s="1148">
        <v>37057</v>
      </c>
      <c r="D20" s="1148">
        <v>30880.71</v>
      </c>
      <c r="E20" s="1123">
        <f t="shared" si="1"/>
        <v>83.33300051272364</v>
      </c>
    </row>
    <row r="21" spans="1:5" s="174" customFormat="1" ht="19.5" customHeight="1">
      <c r="A21" s="1143" t="s">
        <v>256</v>
      </c>
      <c r="B21" s="1145" t="s">
        <v>526</v>
      </c>
      <c r="C21" s="1148">
        <v>85200</v>
      </c>
      <c r="D21" s="1148">
        <v>58420.62</v>
      </c>
      <c r="E21" s="1123">
        <f t="shared" si="1"/>
        <v>68.56880281690141</v>
      </c>
    </row>
    <row r="22" spans="1:5" s="174" customFormat="1" ht="19.5" customHeight="1">
      <c r="A22" s="1143" t="s">
        <v>257</v>
      </c>
      <c r="B22" s="1145" t="s">
        <v>527</v>
      </c>
      <c r="C22" s="1148">
        <v>390600</v>
      </c>
      <c r="D22" s="1148">
        <v>241704.71</v>
      </c>
      <c r="E22" s="1123">
        <f t="shared" si="1"/>
        <v>61.88036610343062</v>
      </c>
    </row>
    <row r="23" spans="1:5" s="174" customFormat="1" ht="19.5" customHeight="1">
      <c r="A23" s="1143" t="s">
        <v>258</v>
      </c>
      <c r="B23" s="1145" t="s">
        <v>177</v>
      </c>
      <c r="C23" s="1148">
        <v>5500</v>
      </c>
      <c r="D23" s="1148">
        <v>2061.04</v>
      </c>
      <c r="E23" s="1123">
        <f t="shared" si="1"/>
        <v>37.473454545454544</v>
      </c>
    </row>
    <row r="24" spans="1:5" s="174" customFormat="1" ht="19.5" customHeight="1">
      <c r="A24" s="1143" t="s">
        <v>330</v>
      </c>
      <c r="B24" s="1145" t="s">
        <v>1224</v>
      </c>
      <c r="C24" s="1148">
        <v>93899</v>
      </c>
      <c r="D24" s="1148">
        <v>54734.03</v>
      </c>
      <c r="E24" s="1123">
        <f t="shared" si="1"/>
        <v>58.29032258064516</v>
      </c>
    </row>
    <row r="25" spans="1:5" s="174" customFormat="1" ht="19.5" customHeight="1">
      <c r="A25" s="1143" t="s">
        <v>331</v>
      </c>
      <c r="B25" s="1145" t="s">
        <v>541</v>
      </c>
      <c r="C25" s="1148">
        <v>2300</v>
      </c>
      <c r="D25" s="1148">
        <v>1335.97</v>
      </c>
      <c r="E25" s="1123">
        <f t="shared" si="1"/>
        <v>58.08565217391305</v>
      </c>
    </row>
    <row r="26" spans="1:5" s="174" customFormat="1" ht="19.5" customHeight="1">
      <c r="A26" s="1143" t="s">
        <v>259</v>
      </c>
      <c r="B26" s="1145" t="s">
        <v>542</v>
      </c>
      <c r="C26" s="1148">
        <v>95250</v>
      </c>
      <c r="D26" s="1148">
        <v>48376.83</v>
      </c>
      <c r="E26" s="1123">
        <f t="shared" si="1"/>
        <v>50.78932283464567</v>
      </c>
    </row>
    <row r="27" spans="1:5" s="174" customFormat="1" ht="19.5" customHeight="1" hidden="1">
      <c r="A27" s="1143" t="s">
        <v>261</v>
      </c>
      <c r="B27" s="1145" t="s">
        <v>178</v>
      </c>
      <c r="C27" s="1148">
        <v>0</v>
      </c>
      <c r="D27" s="1148">
        <v>0</v>
      </c>
      <c r="E27" s="1123" t="e">
        <f t="shared" si="1"/>
        <v>#DIV/0!</v>
      </c>
    </row>
    <row r="28" spans="1:5" s="174" customFormat="1" ht="19.5" customHeight="1">
      <c r="A28" s="1143" t="s">
        <v>261</v>
      </c>
      <c r="B28" s="1145" t="s">
        <v>289</v>
      </c>
      <c r="C28" s="1148">
        <v>314700</v>
      </c>
      <c r="D28" s="1148">
        <v>226730.16</v>
      </c>
      <c r="E28" s="1123">
        <f t="shared" si="1"/>
        <v>72.04644423260248</v>
      </c>
    </row>
    <row r="29" spans="1:5" s="174" customFormat="1" ht="19.5" customHeight="1">
      <c r="A29" s="1143" t="s">
        <v>332</v>
      </c>
      <c r="B29" s="1145" t="s">
        <v>825</v>
      </c>
      <c r="C29" s="1148">
        <v>264477.18</v>
      </c>
      <c r="D29" s="1148">
        <v>186345.28</v>
      </c>
      <c r="E29" s="1123">
        <f t="shared" si="1"/>
        <v>70.457980533519</v>
      </c>
    </row>
    <row r="30" spans="1:5" s="174" customFormat="1" ht="19.5" customHeight="1">
      <c r="A30" s="211" t="s">
        <v>262</v>
      </c>
      <c r="B30" s="1460" t="s">
        <v>824</v>
      </c>
      <c r="C30" s="1461">
        <v>3600</v>
      </c>
      <c r="D30" s="1461">
        <v>2135.4</v>
      </c>
      <c r="E30" s="879">
        <f t="shared" si="1"/>
        <v>59.31666666666667</v>
      </c>
    </row>
    <row r="31" spans="1:5" s="175" customFormat="1" ht="19.5" customHeight="1" thickBot="1">
      <c r="A31" s="1135" t="s">
        <v>561</v>
      </c>
      <c r="B31" s="1186" t="s">
        <v>179</v>
      </c>
      <c r="C31" s="1187">
        <f>C8+C9-C17</f>
        <v>16626.290000000037</v>
      </c>
      <c r="D31" s="1187">
        <f>D8+D9-D17</f>
        <v>586722.54</v>
      </c>
      <c r="E31" s="1139" t="s">
        <v>176</v>
      </c>
    </row>
    <row r="32" spans="1:5" s="175" customFormat="1" ht="20.25" customHeight="1" thickBot="1">
      <c r="A32" s="1773" t="s">
        <v>562</v>
      </c>
      <c r="B32" s="1776"/>
      <c r="C32" s="1162">
        <f>SUM(C17,C31)</f>
        <v>2779781.47</v>
      </c>
      <c r="D32" s="1162">
        <f>SUM(D17,D31)</f>
        <v>2152896.78</v>
      </c>
      <c r="E32" s="1163">
        <f>D32/C32*100</f>
        <v>77.44841827440484</v>
      </c>
    </row>
    <row r="33" spans="1:4" s="174" customFormat="1" ht="15.75" customHeight="1" hidden="1">
      <c r="A33" s="191"/>
      <c r="B33" s="192" t="s">
        <v>36</v>
      </c>
      <c r="C33" s="223">
        <f>C16-C32</f>
        <v>0</v>
      </c>
      <c r="D33" s="223">
        <f>D16-D32</f>
        <v>0</v>
      </c>
    </row>
    <row r="34" spans="1:4" s="174" customFormat="1" ht="15.75" customHeight="1">
      <c r="A34" s="191"/>
      <c r="C34" s="192"/>
      <c r="D34" s="192"/>
    </row>
    <row r="35" spans="1:4" s="174" customFormat="1" ht="15.75" customHeight="1">
      <c r="A35" s="191"/>
      <c r="C35" s="192"/>
      <c r="D35" s="192"/>
    </row>
    <row r="36" spans="1:4" s="174" customFormat="1" ht="15.75" customHeight="1">
      <c r="A36" s="191"/>
      <c r="C36" s="192"/>
      <c r="D36" s="192"/>
    </row>
    <row r="37" spans="3:4" ht="15.75" customHeight="1">
      <c r="C37" s="2"/>
      <c r="D37" s="2"/>
    </row>
    <row r="38" spans="3:4" ht="15.75" customHeight="1">
      <c r="C38" s="2"/>
      <c r="D38" s="2"/>
    </row>
    <row r="39" spans="3:4" ht="15.75" customHeight="1">
      <c r="C39" s="2"/>
      <c r="D39" s="2"/>
    </row>
    <row r="40" spans="3:4" ht="15.75" customHeight="1">
      <c r="C40" s="2"/>
      <c r="D40" s="2"/>
    </row>
  </sheetData>
  <sheetProtection password="CF53" sheet="1" formatRows="0" insertColumns="0" insertRows="0" insertHyperlinks="0" deleteColumns="0" deleteRows="0" sort="0" autoFilter="0" pivotTables="0"/>
  <mergeCells count="5">
    <mergeCell ref="A3:E3"/>
    <mergeCell ref="A16:B16"/>
    <mergeCell ref="A32:B32"/>
    <mergeCell ref="D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E35"/>
  <sheetViews>
    <sheetView view="pageBreakPreview" zoomScaleSheetLayoutView="100" zoomScalePageLayoutView="0" workbookViewId="0" topLeftCell="A12">
      <selection activeCell="D34" sqref="D34"/>
    </sheetView>
  </sheetViews>
  <sheetFormatPr defaultColWidth="9.00390625" defaultRowHeight="12.75"/>
  <cols>
    <col min="1" max="1" width="4.875" style="191" customWidth="1"/>
    <col min="2" max="2" width="51.625" style="174" customWidth="1"/>
    <col min="3" max="3" width="12.625" style="1170" customWidth="1"/>
    <col min="4" max="4" width="11.625" style="1170" customWidth="1"/>
    <col min="5" max="5" width="6.375" style="1171" customWidth="1"/>
    <col min="6" max="16384" width="9.125" style="174" customWidth="1"/>
  </cols>
  <sheetData>
    <row r="1" spans="4:5" ht="12.75">
      <c r="D1" s="1583" t="s">
        <v>617</v>
      </c>
      <c r="E1" s="1583"/>
    </row>
    <row r="3" spans="1:5" ht="12.75">
      <c r="A3" s="1587" t="s">
        <v>242</v>
      </c>
      <c r="B3" s="1587"/>
      <c r="C3" s="1587"/>
      <c r="D3" s="1587"/>
      <c r="E3" s="1587"/>
    </row>
    <row r="5" spans="1:5" ht="13.5" thickBot="1">
      <c r="A5" s="1775" t="s">
        <v>452</v>
      </c>
      <c r="B5" s="1775"/>
      <c r="E5" s="1171" t="s">
        <v>1351</v>
      </c>
    </row>
    <row r="6" spans="1:5" s="177" customFormat="1" ht="18" customHeight="1">
      <c r="A6" s="1157" t="s">
        <v>168</v>
      </c>
      <c r="B6" s="239" t="s">
        <v>1353</v>
      </c>
      <c r="C6" s="1172" t="s">
        <v>1354</v>
      </c>
      <c r="D6" s="1172" t="s">
        <v>1355</v>
      </c>
      <c r="E6" s="1146" t="s">
        <v>1356</v>
      </c>
    </row>
    <row r="7" spans="1:5" s="177" customFormat="1" ht="10.5" customHeight="1" thickBot="1">
      <c r="A7" s="1173">
        <v>1</v>
      </c>
      <c r="B7" s="1174">
        <v>2</v>
      </c>
      <c r="C7" s="1175">
        <v>3</v>
      </c>
      <c r="D7" s="1175">
        <v>4</v>
      </c>
      <c r="E7" s="1176">
        <v>5</v>
      </c>
    </row>
    <row r="8" spans="1:5" s="177" customFormat="1" ht="18" customHeight="1">
      <c r="A8" s="198" t="s">
        <v>506</v>
      </c>
      <c r="B8" s="1164" t="s">
        <v>180</v>
      </c>
      <c r="C8" s="1161">
        <v>6164</v>
      </c>
      <c r="D8" s="1161">
        <v>6163.19</v>
      </c>
      <c r="E8" s="1119" t="s">
        <v>176</v>
      </c>
    </row>
    <row r="9" spans="1:5" s="897" customFormat="1" ht="18" customHeight="1">
      <c r="A9" s="1131" t="s">
        <v>507</v>
      </c>
      <c r="B9" s="1177" t="s">
        <v>160</v>
      </c>
      <c r="C9" s="1178">
        <f>SUM(C10,C13,C16)</f>
        <v>1385105</v>
      </c>
      <c r="D9" s="1178">
        <f>SUM(D10,D13,D16)</f>
        <v>722508.47</v>
      </c>
      <c r="E9" s="1179">
        <f aca="true" t="shared" si="0" ref="E9:E32">D9/C9*100</f>
        <v>52.16272195970703</v>
      </c>
    </row>
    <row r="10" spans="1:5" s="869" customFormat="1" ht="18" customHeight="1">
      <c r="A10" s="1143" t="s">
        <v>171</v>
      </c>
      <c r="B10" s="1130" t="s">
        <v>1050</v>
      </c>
      <c r="C10" s="1148">
        <f>SUM(C11,C12)</f>
        <v>38000</v>
      </c>
      <c r="D10" s="1148">
        <f>SUM(D11,D12)</f>
        <v>29903.47</v>
      </c>
      <c r="E10" s="1167">
        <f t="shared" si="0"/>
        <v>78.69334210526317</v>
      </c>
    </row>
    <row r="11" spans="1:5" s="1181" customFormat="1" ht="18" customHeight="1">
      <c r="A11" s="1149" t="s">
        <v>4</v>
      </c>
      <c r="B11" s="1180" t="s">
        <v>213</v>
      </c>
      <c r="C11" s="1151">
        <v>22000</v>
      </c>
      <c r="D11" s="1151">
        <v>13140</v>
      </c>
      <c r="E11" s="1167">
        <f t="shared" si="0"/>
        <v>59.72727272727273</v>
      </c>
    </row>
    <row r="12" spans="1:5" s="1181" customFormat="1" ht="18" customHeight="1">
      <c r="A12" s="1149" t="s">
        <v>5</v>
      </c>
      <c r="B12" s="1180" t="s">
        <v>260</v>
      </c>
      <c r="C12" s="1151">
        <v>16000</v>
      </c>
      <c r="D12" s="1151">
        <v>16763.47</v>
      </c>
      <c r="E12" s="1167">
        <f t="shared" si="0"/>
        <v>104.77168750000001</v>
      </c>
    </row>
    <row r="13" spans="1:5" s="869" customFormat="1" ht="18" customHeight="1">
      <c r="A13" s="1143" t="s">
        <v>172</v>
      </c>
      <c r="B13" s="1145" t="s">
        <v>0</v>
      </c>
      <c r="C13" s="1148">
        <f>SUM(C14,C15)</f>
        <v>1347105</v>
      </c>
      <c r="D13" s="1148">
        <f>SUM(D14,D15)</f>
        <v>692605</v>
      </c>
      <c r="E13" s="1167">
        <f t="shared" si="0"/>
        <v>51.41432924679219</v>
      </c>
    </row>
    <row r="14" spans="1:5" s="1181" customFormat="1" ht="18" customHeight="1">
      <c r="A14" s="1149" t="s">
        <v>7</v>
      </c>
      <c r="B14" s="1180" t="s">
        <v>216</v>
      </c>
      <c r="C14" s="1151">
        <v>1222105</v>
      </c>
      <c r="D14" s="1151">
        <v>692605</v>
      </c>
      <c r="E14" s="1167">
        <f t="shared" si="0"/>
        <v>56.673117285339636</v>
      </c>
    </row>
    <row r="15" spans="1:5" s="1181" customFormat="1" ht="18" customHeight="1" thickBot="1">
      <c r="A15" s="1149" t="s">
        <v>8</v>
      </c>
      <c r="B15" s="1180" t="s">
        <v>217</v>
      </c>
      <c r="C15" s="1151">
        <v>125000</v>
      </c>
      <c r="D15" s="1151">
        <v>0</v>
      </c>
      <c r="E15" s="1182">
        <f t="shared" si="0"/>
        <v>0</v>
      </c>
    </row>
    <row r="16" spans="1:5" s="869" customFormat="1" ht="18" customHeight="1" hidden="1" thickBot="1">
      <c r="A16" s="1153"/>
      <c r="B16" s="1184"/>
      <c r="C16" s="1155"/>
      <c r="D16" s="1155"/>
      <c r="E16" s="1167"/>
    </row>
    <row r="17" spans="1:5" s="897" customFormat="1" ht="18" customHeight="1" thickBot="1">
      <c r="A17" s="1770" t="s">
        <v>511</v>
      </c>
      <c r="B17" s="1771"/>
      <c r="C17" s="1162">
        <f>SUM(C8,C9)</f>
        <v>1391269</v>
      </c>
      <c r="D17" s="1162">
        <f>SUM(D8,D9)</f>
        <v>728671.6599999999</v>
      </c>
      <c r="E17" s="1185">
        <f t="shared" si="0"/>
        <v>52.374606204838884</v>
      </c>
    </row>
    <row r="18" spans="1:5" s="897" customFormat="1" ht="18" customHeight="1">
      <c r="A18" s="198" t="s">
        <v>513</v>
      </c>
      <c r="B18" s="1160" t="s">
        <v>1048</v>
      </c>
      <c r="C18" s="1161">
        <f>SUM(C19,C20,C21,C22,C23,C26,C27,C28,C29,C30,C31,C32)</f>
        <v>1385105</v>
      </c>
      <c r="D18" s="1161">
        <f>SUM(D19,D20,D21,D22,D23,D26,D27,D28,D29,D30,D31,D32)</f>
        <v>653280.14</v>
      </c>
      <c r="E18" s="200">
        <f t="shared" si="0"/>
        <v>47.16466549467369</v>
      </c>
    </row>
    <row r="19" spans="1:5" s="869" customFormat="1" ht="18" customHeight="1">
      <c r="A19" s="1143" t="s">
        <v>171</v>
      </c>
      <c r="B19" s="1130" t="s">
        <v>21</v>
      </c>
      <c r="C19" s="1148">
        <v>77000</v>
      </c>
      <c r="D19" s="1148">
        <v>45723.28</v>
      </c>
      <c r="E19" s="1167">
        <f t="shared" si="0"/>
        <v>59.38088311688312</v>
      </c>
    </row>
    <row r="20" spans="1:5" ht="18" customHeight="1">
      <c r="A20" s="1143" t="s">
        <v>172</v>
      </c>
      <c r="B20" s="1145" t="s">
        <v>729</v>
      </c>
      <c r="C20" s="1148">
        <v>31050</v>
      </c>
      <c r="D20" s="1148">
        <v>18148.15</v>
      </c>
      <c r="E20" s="1167">
        <f t="shared" si="0"/>
        <v>58.44814814814815</v>
      </c>
    </row>
    <row r="21" spans="1:5" ht="18" customHeight="1">
      <c r="A21" s="1143" t="s">
        <v>249</v>
      </c>
      <c r="B21" s="1145" t="s">
        <v>1132</v>
      </c>
      <c r="C21" s="1148">
        <v>97000</v>
      </c>
      <c r="D21" s="1148">
        <v>58594.71</v>
      </c>
      <c r="E21" s="1167">
        <f t="shared" si="0"/>
        <v>60.406917525773196</v>
      </c>
    </row>
    <row r="22" spans="1:5" ht="18" customHeight="1">
      <c r="A22" s="1143" t="s">
        <v>256</v>
      </c>
      <c r="B22" s="1145" t="s">
        <v>834</v>
      </c>
      <c r="C22" s="1148">
        <v>82000</v>
      </c>
      <c r="D22" s="1148">
        <v>54768.78</v>
      </c>
      <c r="E22" s="1167">
        <f t="shared" si="0"/>
        <v>66.79119512195122</v>
      </c>
    </row>
    <row r="23" spans="1:5" ht="18" customHeight="1">
      <c r="A23" s="1143" t="s">
        <v>257</v>
      </c>
      <c r="B23" s="1145" t="s">
        <v>22</v>
      </c>
      <c r="C23" s="1148">
        <f>SUM(C24,C25)</f>
        <v>781200</v>
      </c>
      <c r="D23" s="1148">
        <f>SUM(D24,D25)</f>
        <v>376625.87</v>
      </c>
      <c r="E23" s="1167">
        <f t="shared" si="0"/>
        <v>48.211196876600106</v>
      </c>
    </row>
    <row r="24" spans="1:5" s="221" customFormat="1" ht="18" customHeight="1">
      <c r="A24" s="1149" t="s">
        <v>1107</v>
      </c>
      <c r="B24" s="1180" t="s">
        <v>214</v>
      </c>
      <c r="C24" s="1151">
        <v>744000</v>
      </c>
      <c r="D24" s="1151">
        <v>357425.87</v>
      </c>
      <c r="E24" s="1182">
        <f t="shared" si="0"/>
        <v>48.04111155913978</v>
      </c>
    </row>
    <row r="25" spans="1:5" s="221" customFormat="1" ht="18" customHeight="1">
      <c r="A25" s="1149" t="s">
        <v>1108</v>
      </c>
      <c r="B25" s="1180" t="s">
        <v>215</v>
      </c>
      <c r="C25" s="1151">
        <v>37200</v>
      </c>
      <c r="D25" s="1151">
        <v>19200</v>
      </c>
      <c r="E25" s="1182">
        <f t="shared" si="0"/>
        <v>51.61290322580645</v>
      </c>
    </row>
    <row r="26" spans="1:5" ht="18" customHeight="1">
      <c r="A26" s="1143" t="s">
        <v>258</v>
      </c>
      <c r="B26" s="1145" t="s">
        <v>1133</v>
      </c>
      <c r="C26" s="1148">
        <v>137000</v>
      </c>
      <c r="D26" s="1148">
        <v>65898.85</v>
      </c>
      <c r="E26" s="1167">
        <f t="shared" si="0"/>
        <v>48.10135036496351</v>
      </c>
    </row>
    <row r="27" spans="1:5" ht="18" customHeight="1">
      <c r="A27" s="1143" t="s">
        <v>330</v>
      </c>
      <c r="B27" s="1145" t="s">
        <v>23</v>
      </c>
      <c r="C27" s="1148">
        <v>1500</v>
      </c>
      <c r="D27" s="1148">
        <v>1041.24</v>
      </c>
      <c r="E27" s="1167">
        <f t="shared" si="0"/>
        <v>69.416</v>
      </c>
    </row>
    <row r="28" spans="1:5" ht="18" customHeight="1">
      <c r="A28" s="1143" t="s">
        <v>331</v>
      </c>
      <c r="B28" s="1145" t="s">
        <v>542</v>
      </c>
      <c r="C28" s="1148">
        <v>22050</v>
      </c>
      <c r="D28" s="1148">
        <v>11391.93</v>
      </c>
      <c r="E28" s="1167">
        <f t="shared" si="0"/>
        <v>51.66408163265306</v>
      </c>
    </row>
    <row r="29" spans="1:5" ht="18.75" customHeight="1">
      <c r="A29" s="1143" t="s">
        <v>259</v>
      </c>
      <c r="B29" s="1145" t="s">
        <v>543</v>
      </c>
      <c r="C29" s="1148">
        <v>23200</v>
      </c>
      <c r="D29" s="1148">
        <v>17366.13</v>
      </c>
      <c r="E29" s="1167">
        <f t="shared" si="0"/>
        <v>74.85400862068965</v>
      </c>
    </row>
    <row r="30" spans="1:5" ht="18.75" customHeight="1">
      <c r="A30" s="1143" t="s">
        <v>261</v>
      </c>
      <c r="B30" s="1145" t="s">
        <v>835</v>
      </c>
      <c r="C30" s="1148">
        <v>2000</v>
      </c>
      <c r="D30" s="1148">
        <v>544.2</v>
      </c>
      <c r="E30" s="1167">
        <f t="shared" si="0"/>
        <v>27.21</v>
      </c>
    </row>
    <row r="31" spans="1:5" ht="18.75" customHeight="1">
      <c r="A31" s="1143" t="s">
        <v>332</v>
      </c>
      <c r="B31" s="1145" t="s">
        <v>552</v>
      </c>
      <c r="C31" s="1148">
        <v>6105</v>
      </c>
      <c r="D31" s="1148">
        <v>3177</v>
      </c>
      <c r="E31" s="1167">
        <f t="shared" si="0"/>
        <v>52.03931203931204</v>
      </c>
    </row>
    <row r="32" spans="1:5" ht="20.25" customHeight="1">
      <c r="A32" s="201" t="s">
        <v>262</v>
      </c>
      <c r="B32" s="212" t="s">
        <v>178</v>
      </c>
      <c r="C32" s="1461">
        <v>125000</v>
      </c>
      <c r="D32" s="1461">
        <v>0</v>
      </c>
      <c r="E32" s="1462">
        <f t="shared" si="0"/>
        <v>0</v>
      </c>
    </row>
    <row r="33" spans="1:5" s="897" customFormat="1" ht="18" customHeight="1" thickBot="1">
      <c r="A33" s="1135" t="s">
        <v>561</v>
      </c>
      <c r="B33" s="1186" t="s">
        <v>179</v>
      </c>
      <c r="C33" s="1187">
        <f>C8+C9-C18</f>
        <v>6164</v>
      </c>
      <c r="D33" s="1187">
        <f>D8+D9-D18</f>
        <v>75391.5199999999</v>
      </c>
      <c r="E33" s="1139" t="s">
        <v>176</v>
      </c>
    </row>
    <row r="34" spans="1:5" s="175" customFormat="1" ht="18" customHeight="1" thickBot="1">
      <c r="A34" s="1770" t="s">
        <v>562</v>
      </c>
      <c r="B34" s="1771"/>
      <c r="C34" s="1162">
        <f>C18+C33</f>
        <v>1391269</v>
      </c>
      <c r="D34" s="1162">
        <f>D18+D33</f>
        <v>728671.6599999999</v>
      </c>
      <c r="E34" s="1185">
        <f>D34/C34*100</f>
        <v>52.374606204838884</v>
      </c>
    </row>
    <row r="35" spans="2:4" ht="12.75" hidden="1">
      <c r="B35" s="192" t="s">
        <v>36</v>
      </c>
      <c r="C35" s="1170">
        <f>C17-C34</f>
        <v>0</v>
      </c>
      <c r="D35" s="1170">
        <f>D17-D34</f>
        <v>0</v>
      </c>
    </row>
  </sheetData>
  <sheetProtection password="CF53" sheet="1" formatRows="0" insertColumns="0" insertRows="0" insertHyperlinks="0" deleteColumns="0" deleteRows="0" sort="0" autoFilter="0" pivotTables="0"/>
  <mergeCells count="5">
    <mergeCell ref="A3:E3"/>
    <mergeCell ref="A17:B17"/>
    <mergeCell ref="A34:B34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E46"/>
  <sheetViews>
    <sheetView view="pageBreakPreview" zoomScaleSheetLayoutView="100" zoomScalePageLayoutView="0" workbookViewId="0" topLeftCell="A19">
      <selection activeCell="G12" sqref="G12"/>
    </sheetView>
  </sheetViews>
  <sheetFormatPr defaultColWidth="9.00390625" defaultRowHeight="15.75" customHeight="1"/>
  <cols>
    <col min="1" max="1" width="4.875" style="191" customWidth="1"/>
    <col min="2" max="2" width="54.25390625" style="174" customWidth="1"/>
    <col min="3" max="3" width="11.75390625" style="174" customWidth="1"/>
    <col min="4" max="4" width="11.375" style="174" customWidth="1"/>
    <col min="5" max="5" width="5.375" style="174" customWidth="1"/>
    <col min="6" max="16384" width="9.125" style="174" customWidth="1"/>
  </cols>
  <sheetData>
    <row r="1" spans="4:5" ht="15.75" customHeight="1">
      <c r="D1" s="1583" t="s">
        <v>616</v>
      </c>
      <c r="E1" s="1583"/>
    </row>
    <row r="3" spans="1:5" ht="15.75" customHeight="1">
      <c r="A3" s="1587" t="s">
        <v>1049</v>
      </c>
      <c r="B3" s="1587"/>
      <c r="C3" s="1587"/>
      <c r="D3" s="1587"/>
      <c r="E3" s="1587"/>
    </row>
    <row r="4" ht="11.25" customHeight="1"/>
    <row r="5" spans="1:5" ht="15.75" customHeight="1" thickBot="1">
      <c r="A5" s="1775" t="s">
        <v>621</v>
      </c>
      <c r="B5" s="1775"/>
      <c r="E5" s="192" t="s">
        <v>1351</v>
      </c>
    </row>
    <row r="6" spans="1:5" s="173" customFormat="1" ht="18" customHeight="1">
      <c r="A6" s="1157" t="s">
        <v>168</v>
      </c>
      <c r="B6" s="239" t="s">
        <v>1353</v>
      </c>
      <c r="C6" s="239" t="s">
        <v>1354</v>
      </c>
      <c r="D6" s="239" t="s">
        <v>1355</v>
      </c>
      <c r="E6" s="1146" t="s">
        <v>1356</v>
      </c>
    </row>
    <row r="7" spans="1:5" s="175" customFormat="1" ht="10.5" customHeight="1" thickBot="1">
      <c r="A7" s="1158">
        <v>1</v>
      </c>
      <c r="B7" s="1159">
        <v>2</v>
      </c>
      <c r="C7" s="1159">
        <v>3</v>
      </c>
      <c r="D7" s="1159">
        <v>4</v>
      </c>
      <c r="E7" s="1147">
        <v>5</v>
      </c>
    </row>
    <row r="8" spans="1:5" s="175" customFormat="1" ht="19.5" customHeight="1">
      <c r="A8" s="198" t="s">
        <v>506</v>
      </c>
      <c r="B8" s="1164" t="s">
        <v>180</v>
      </c>
      <c r="C8" s="1161">
        <v>97551</v>
      </c>
      <c r="D8" s="1161">
        <v>97550.52</v>
      </c>
      <c r="E8" s="1119" t="s">
        <v>176</v>
      </c>
    </row>
    <row r="9" spans="1:5" ht="19.5" customHeight="1">
      <c r="A9" s="1457" t="s">
        <v>507</v>
      </c>
      <c r="B9" s="1458" t="s">
        <v>160</v>
      </c>
      <c r="C9" s="1459">
        <f>SUM(C10,C11,C12,C13,C14,C15,C16,C17)</f>
        <v>648294</v>
      </c>
      <c r="D9" s="1459">
        <f>SUM(D10,D11,D12,D13,D14,D15,D16,D17)</f>
        <v>282210.77999999997</v>
      </c>
      <c r="E9" s="1122">
        <f aca="true" t="shared" si="0" ref="E9:E32">D9/C9*100</f>
        <v>43.53129598608039</v>
      </c>
    </row>
    <row r="10" spans="1:5" ht="19.5" customHeight="1">
      <c r="A10" s="1143" t="s">
        <v>171</v>
      </c>
      <c r="B10" s="1130" t="s">
        <v>826</v>
      </c>
      <c r="C10" s="1148">
        <v>411794</v>
      </c>
      <c r="D10" s="1148">
        <v>216794</v>
      </c>
      <c r="E10" s="1123">
        <f t="shared" si="0"/>
        <v>52.64622602563418</v>
      </c>
    </row>
    <row r="11" spans="1:5" s="869" customFormat="1" ht="19.5" customHeight="1" hidden="1">
      <c r="A11" s="1143" t="s">
        <v>172</v>
      </c>
      <c r="B11" s="1145" t="s">
        <v>830</v>
      </c>
      <c r="C11" s="1148">
        <v>0</v>
      </c>
      <c r="D11" s="1148">
        <v>0</v>
      </c>
      <c r="E11" s="1123" t="e">
        <f t="shared" si="0"/>
        <v>#DIV/0!</v>
      </c>
    </row>
    <row r="12" spans="1:5" ht="20.25" customHeight="1">
      <c r="A12" s="1143" t="s">
        <v>172</v>
      </c>
      <c r="B12" s="1130" t="s">
        <v>546</v>
      </c>
      <c r="C12" s="1148">
        <v>69000</v>
      </c>
      <c r="D12" s="1148">
        <v>4000</v>
      </c>
      <c r="E12" s="1123">
        <f t="shared" si="0"/>
        <v>5.797101449275362</v>
      </c>
    </row>
    <row r="13" spans="1:5" ht="19.5" customHeight="1">
      <c r="A13" s="1143" t="s">
        <v>249</v>
      </c>
      <c r="B13" s="1145" t="s">
        <v>827</v>
      </c>
      <c r="C13" s="1148">
        <v>163500</v>
      </c>
      <c r="D13" s="1148">
        <v>57967.74</v>
      </c>
      <c r="E13" s="1123">
        <f t="shared" si="0"/>
        <v>35.4542752293578</v>
      </c>
    </row>
    <row r="14" spans="1:5" ht="19.5" customHeight="1" hidden="1">
      <c r="A14" s="1143" t="s">
        <v>257</v>
      </c>
      <c r="B14" s="1130" t="s">
        <v>828</v>
      </c>
      <c r="C14" s="1148">
        <v>0</v>
      </c>
      <c r="D14" s="1148">
        <v>0</v>
      </c>
      <c r="E14" s="1167" t="s">
        <v>144</v>
      </c>
    </row>
    <row r="15" spans="1:5" ht="19.5" customHeight="1" hidden="1">
      <c r="A15" s="1143" t="s">
        <v>258</v>
      </c>
      <c r="B15" s="1130" t="s">
        <v>829</v>
      </c>
      <c r="C15" s="1148">
        <v>0</v>
      </c>
      <c r="D15" s="1148">
        <v>0</v>
      </c>
      <c r="E15" s="1123" t="e">
        <f t="shared" si="0"/>
        <v>#DIV/0!</v>
      </c>
    </row>
    <row r="16" spans="1:5" ht="19.5" customHeight="1">
      <c r="A16" s="1143" t="s">
        <v>256</v>
      </c>
      <c r="B16" s="1130" t="s">
        <v>1134</v>
      </c>
      <c r="C16" s="1148">
        <v>4000</v>
      </c>
      <c r="D16" s="1148">
        <v>3449.04</v>
      </c>
      <c r="E16" s="1123">
        <f t="shared" si="0"/>
        <v>86.226</v>
      </c>
    </row>
    <row r="17" spans="1:5" ht="19.5" customHeight="1" hidden="1" thickBot="1">
      <c r="A17" s="1153" t="s">
        <v>331</v>
      </c>
      <c r="B17" s="1165" t="s">
        <v>831</v>
      </c>
      <c r="C17" s="1155">
        <v>0</v>
      </c>
      <c r="D17" s="1155">
        <v>0</v>
      </c>
      <c r="E17" s="1166" t="e">
        <f t="shared" si="0"/>
        <v>#DIV/0!</v>
      </c>
    </row>
    <row r="18" spans="1:5" s="175" customFormat="1" ht="19.5" customHeight="1" thickBot="1">
      <c r="A18" s="1777" t="s">
        <v>511</v>
      </c>
      <c r="B18" s="1778"/>
      <c r="C18" s="1168">
        <f>SUM(C8,C9)</f>
        <v>745845</v>
      </c>
      <c r="D18" s="1168">
        <f>SUM(D8,D9)</f>
        <v>379761.3</v>
      </c>
      <c r="E18" s="1169">
        <f t="shared" si="0"/>
        <v>50.91691973533374</v>
      </c>
    </row>
    <row r="19" spans="1:5" s="175" customFormat="1" ht="19.5" customHeight="1">
      <c r="A19" s="198" t="s">
        <v>513</v>
      </c>
      <c r="B19" s="1160" t="s">
        <v>1048</v>
      </c>
      <c r="C19" s="1161">
        <f>SUM(C20,C21,C22,C23,C24,C25,C26,C27,C28,C29,C30,C31,C32,C33,C34,C35,C36)</f>
        <v>664350</v>
      </c>
      <c r="D19" s="1161">
        <f>SUM(D20,D21,D22,D23,D24,D25,D26,D27,D28,D29,D30,D31,D32,D33,D34,D35,D36)</f>
        <v>276481.61</v>
      </c>
      <c r="E19" s="1142">
        <f t="shared" si="0"/>
        <v>41.61686008880861</v>
      </c>
    </row>
    <row r="20" spans="1:5" ht="19.5" customHeight="1">
      <c r="A20" s="1515" t="s">
        <v>171</v>
      </c>
      <c r="B20" s="869" t="s">
        <v>516</v>
      </c>
      <c r="C20" s="1520">
        <v>346340</v>
      </c>
      <c r="D20" s="1520">
        <v>161103.03</v>
      </c>
      <c r="E20" s="1538">
        <f t="shared" si="0"/>
        <v>46.5158601374372</v>
      </c>
    </row>
    <row r="21" spans="1:5" ht="19.5" customHeight="1">
      <c r="A21" s="1127" t="s">
        <v>172</v>
      </c>
      <c r="B21" s="869" t="s">
        <v>525</v>
      </c>
      <c r="C21" s="1521">
        <v>4000</v>
      </c>
      <c r="D21" s="1521">
        <v>925</v>
      </c>
      <c r="E21" s="1539">
        <f t="shared" si="0"/>
        <v>23.125</v>
      </c>
    </row>
    <row r="22" spans="1:5" ht="21.75" customHeight="1">
      <c r="A22" s="1127" t="s">
        <v>249</v>
      </c>
      <c r="B22" s="1514" t="s">
        <v>900</v>
      </c>
      <c r="C22" s="1521">
        <v>65143</v>
      </c>
      <c r="D22" s="1521">
        <v>29845.44</v>
      </c>
      <c r="E22" s="1539">
        <f t="shared" si="0"/>
        <v>45.81526794897379</v>
      </c>
    </row>
    <row r="23" spans="1:5" ht="21.75" customHeight="1">
      <c r="A23" s="1127" t="s">
        <v>256</v>
      </c>
      <c r="B23" s="1514" t="s">
        <v>547</v>
      </c>
      <c r="C23" s="1521">
        <v>10690</v>
      </c>
      <c r="D23" s="1521">
        <v>5174.49</v>
      </c>
      <c r="E23" s="1539">
        <f t="shared" si="0"/>
        <v>48.404957904583725</v>
      </c>
    </row>
    <row r="24" spans="1:5" ht="19.5" customHeight="1">
      <c r="A24" s="1127" t="s">
        <v>257</v>
      </c>
      <c r="B24" s="869" t="s">
        <v>526</v>
      </c>
      <c r="C24" s="1521">
        <v>15460</v>
      </c>
      <c r="D24" s="1521">
        <v>6985.19</v>
      </c>
      <c r="E24" s="1539">
        <f t="shared" si="0"/>
        <v>45.18234152652005</v>
      </c>
    </row>
    <row r="25" spans="1:5" ht="19.5" customHeight="1">
      <c r="A25" s="1127" t="s">
        <v>258</v>
      </c>
      <c r="B25" s="869" t="s">
        <v>1057</v>
      </c>
      <c r="C25" s="1521">
        <v>15000</v>
      </c>
      <c r="D25" s="1521">
        <v>5695</v>
      </c>
      <c r="E25" s="1539">
        <f t="shared" si="0"/>
        <v>37.96666666666667</v>
      </c>
    </row>
    <row r="26" spans="1:5" ht="19.5" customHeight="1">
      <c r="A26" s="1127" t="s">
        <v>330</v>
      </c>
      <c r="B26" s="869" t="s">
        <v>269</v>
      </c>
      <c r="C26" s="1521">
        <v>1200</v>
      </c>
      <c r="D26" s="1521">
        <v>552.25</v>
      </c>
      <c r="E26" s="1539">
        <f t="shared" si="0"/>
        <v>46.020833333333336</v>
      </c>
    </row>
    <row r="27" spans="1:5" ht="19.5" customHeight="1">
      <c r="A27" s="1127" t="s">
        <v>331</v>
      </c>
      <c r="B27" s="869" t="s">
        <v>527</v>
      </c>
      <c r="C27" s="1521">
        <v>36740</v>
      </c>
      <c r="D27" s="1521">
        <v>17350.5</v>
      </c>
      <c r="E27" s="1539">
        <f t="shared" si="0"/>
        <v>47.22509526401742</v>
      </c>
    </row>
    <row r="28" spans="1:5" ht="19.5" customHeight="1">
      <c r="A28" s="1127" t="s">
        <v>259</v>
      </c>
      <c r="B28" s="869" t="s">
        <v>834</v>
      </c>
      <c r="C28" s="1521">
        <v>22230</v>
      </c>
      <c r="D28" s="1521">
        <v>11130.37</v>
      </c>
      <c r="E28" s="1539">
        <f t="shared" si="0"/>
        <v>50.069140800719744</v>
      </c>
    </row>
    <row r="29" spans="1:5" ht="19.5" customHeight="1">
      <c r="A29" s="1127" t="s">
        <v>261</v>
      </c>
      <c r="B29" s="869" t="s">
        <v>528</v>
      </c>
      <c r="C29" s="1521">
        <v>5000</v>
      </c>
      <c r="D29" s="1521">
        <v>0</v>
      </c>
      <c r="E29" s="1539">
        <f t="shared" si="0"/>
        <v>0</v>
      </c>
    </row>
    <row r="30" spans="1:5" ht="19.5" customHeight="1">
      <c r="A30" s="1127" t="s">
        <v>332</v>
      </c>
      <c r="B30" s="869" t="s">
        <v>833</v>
      </c>
      <c r="C30" s="1521">
        <v>7000</v>
      </c>
      <c r="D30" s="1521">
        <v>3319.19</v>
      </c>
      <c r="E30" s="1539">
        <f>D30/C30*100</f>
        <v>47.417</v>
      </c>
    </row>
    <row r="31" spans="1:5" ht="19.5" customHeight="1">
      <c r="A31" s="1127" t="s">
        <v>262</v>
      </c>
      <c r="B31" s="869" t="s">
        <v>120</v>
      </c>
      <c r="C31" s="1521">
        <v>1640</v>
      </c>
      <c r="D31" s="1521">
        <v>823</v>
      </c>
      <c r="E31" s="1539">
        <f>D31/C31*100</f>
        <v>50.18292682926829</v>
      </c>
    </row>
    <row r="32" spans="1:5" ht="19.5" customHeight="1">
      <c r="A32" s="1127" t="s">
        <v>263</v>
      </c>
      <c r="B32" s="869" t="s">
        <v>832</v>
      </c>
      <c r="C32" s="1521">
        <v>3503</v>
      </c>
      <c r="D32" s="1521">
        <v>1781</v>
      </c>
      <c r="E32" s="1539">
        <f t="shared" si="0"/>
        <v>50.84213531258921</v>
      </c>
    </row>
    <row r="33" spans="1:5" ht="19.5" customHeight="1">
      <c r="A33" s="1127" t="s">
        <v>333</v>
      </c>
      <c r="B33" s="869" t="s">
        <v>1385</v>
      </c>
      <c r="C33" s="1521">
        <v>3000</v>
      </c>
      <c r="D33" s="1521">
        <v>1300.66</v>
      </c>
      <c r="E33" s="1539">
        <f>D33/C33*100</f>
        <v>43.355333333333334</v>
      </c>
    </row>
    <row r="34" spans="1:5" ht="19.5" customHeight="1">
      <c r="A34" s="1127" t="s">
        <v>264</v>
      </c>
      <c r="B34" s="869" t="s">
        <v>548</v>
      </c>
      <c r="C34" s="1521">
        <v>46093</v>
      </c>
      <c r="D34" s="1521">
        <v>15219.51</v>
      </c>
      <c r="E34" s="1539">
        <f>D34/C34*100</f>
        <v>33.01913522660708</v>
      </c>
    </row>
    <row r="35" spans="1:5" ht="27" customHeight="1">
      <c r="A35" s="1127" t="s">
        <v>265</v>
      </c>
      <c r="B35" s="1514" t="s">
        <v>550</v>
      </c>
      <c r="C35" s="1521">
        <v>12311</v>
      </c>
      <c r="D35" s="1521">
        <v>12310.31</v>
      </c>
      <c r="E35" s="1539">
        <f>D35/C35*100</f>
        <v>99.99439525627487</v>
      </c>
    </row>
    <row r="36" spans="1:5" ht="19.5" customHeight="1">
      <c r="A36" s="1127" t="s">
        <v>266</v>
      </c>
      <c r="B36" s="869" t="s">
        <v>549</v>
      </c>
      <c r="C36" s="213">
        <v>69000</v>
      </c>
      <c r="D36" s="213">
        <v>2966.67</v>
      </c>
      <c r="E36" s="1540">
        <f>D36/C36*100</f>
        <v>4.2995217391304354</v>
      </c>
    </row>
    <row r="37" spans="1:5" s="175" customFormat="1" ht="19.5" customHeight="1">
      <c r="A37" s="1517" t="s">
        <v>561</v>
      </c>
      <c r="B37" s="1518" t="s">
        <v>179</v>
      </c>
      <c r="C37" s="1066">
        <f>C8+C9-C19</f>
        <v>81495</v>
      </c>
      <c r="D37" s="1066">
        <f>D8+D9-D19</f>
        <v>103279.69</v>
      </c>
      <c r="E37" s="1519" t="s">
        <v>176</v>
      </c>
    </row>
    <row r="38" spans="1:5" s="175" customFormat="1" ht="20.25" customHeight="1" thickBot="1">
      <c r="A38" s="1777" t="s">
        <v>562</v>
      </c>
      <c r="B38" s="1779"/>
      <c r="C38" s="962">
        <f>SUM(C19,C37)</f>
        <v>745845</v>
      </c>
      <c r="D38" s="962">
        <f>SUM(D19,D37)</f>
        <v>379761.3</v>
      </c>
      <c r="E38" s="1516">
        <f>D38/C38*100</f>
        <v>50.91691973533374</v>
      </c>
    </row>
    <row r="39" spans="2:4" ht="15.75" customHeight="1" hidden="1">
      <c r="B39" s="192" t="s">
        <v>36</v>
      </c>
      <c r="C39" s="223"/>
      <c r="D39" s="223">
        <f>D18-D38</f>
        <v>0</v>
      </c>
    </row>
    <row r="40" spans="3:4" ht="15.75" customHeight="1">
      <c r="C40" s="192"/>
      <c r="D40" s="192"/>
    </row>
    <row r="41" spans="3:4" ht="15.75" customHeight="1">
      <c r="C41" s="192"/>
      <c r="D41" s="192"/>
    </row>
    <row r="42" spans="3:4" ht="15.75" customHeight="1">
      <c r="C42" s="192"/>
      <c r="D42" s="192"/>
    </row>
    <row r="43" spans="3:4" ht="15.75" customHeight="1">
      <c r="C43" s="192"/>
      <c r="D43" s="192"/>
    </row>
    <row r="44" spans="3:4" ht="15.75" customHeight="1">
      <c r="C44" s="192"/>
      <c r="D44" s="192"/>
    </row>
    <row r="45" spans="3:4" ht="15.75" customHeight="1">
      <c r="C45" s="192"/>
      <c r="D45" s="192"/>
    </row>
    <row r="46" spans="3:4" ht="15.75" customHeight="1">
      <c r="C46" s="192"/>
      <c r="D46" s="192"/>
    </row>
  </sheetData>
  <sheetProtection password="CF53" sheet="1" formatRows="0" insertColumns="0" insertRows="0" insertHyperlinks="0" deleteColumns="0" deleteRows="0" sort="0" autoFilter="0" pivotTables="0"/>
  <mergeCells count="5">
    <mergeCell ref="A3:E3"/>
    <mergeCell ref="A18:B18"/>
    <mergeCell ref="A38:B38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G98"/>
  <sheetViews>
    <sheetView view="pageBreakPreview" zoomScaleSheetLayoutView="100" zoomScalePageLayoutView="0" workbookViewId="0" topLeftCell="A1">
      <pane ySplit="6" topLeftCell="A79" activePane="bottomLeft" state="frozen"/>
      <selection pane="topLeft" activeCell="I244" sqref="I244"/>
      <selection pane="bottomLeft" activeCell="G80" sqref="G80"/>
    </sheetView>
  </sheetViews>
  <sheetFormatPr defaultColWidth="9.00390625" defaultRowHeight="12.75"/>
  <cols>
    <col min="1" max="1" width="6.375" style="9" customWidth="1"/>
    <col min="2" max="2" width="43.125" style="10" customWidth="1"/>
    <col min="3" max="3" width="15.00390625" style="11" customWidth="1"/>
    <col min="4" max="4" width="15.125" style="11" customWidth="1"/>
    <col min="5" max="5" width="7.375" style="10" customWidth="1"/>
    <col min="6" max="6" width="10.375" style="10" bestFit="1" customWidth="1"/>
    <col min="7" max="16384" width="9.125" style="10" customWidth="1"/>
  </cols>
  <sheetData>
    <row r="1" spans="1:5" s="1189" customFormat="1" ht="12.75">
      <c r="A1" s="1188"/>
      <c r="C1" s="1190"/>
      <c r="D1" s="1781" t="s">
        <v>615</v>
      </c>
      <c r="E1" s="1781"/>
    </row>
    <row r="2" spans="1:4" s="1189" customFormat="1" ht="6" customHeight="1">
      <c r="A2" s="1188"/>
      <c r="C2" s="1190"/>
      <c r="D2" s="1190"/>
    </row>
    <row r="3" spans="1:5" s="1189" customFormat="1" ht="24" customHeight="1">
      <c r="A3" s="1780" t="s">
        <v>182</v>
      </c>
      <c r="B3" s="1780"/>
      <c r="C3" s="1780"/>
      <c r="D3" s="1780"/>
      <c r="E3" s="1780"/>
    </row>
    <row r="4" spans="1:5" s="1189" customFormat="1" ht="11.25" customHeight="1" thickBot="1">
      <c r="A4" s="1188"/>
      <c r="C4" s="1190"/>
      <c r="D4" s="1191"/>
      <c r="E4" s="1191" t="s">
        <v>1351</v>
      </c>
    </row>
    <row r="5" spans="1:5" s="1188" customFormat="1" ht="15.75" customHeight="1">
      <c r="A5" s="1192" t="s">
        <v>168</v>
      </c>
      <c r="B5" s="1193" t="s">
        <v>1353</v>
      </c>
      <c r="C5" s="1194" t="s">
        <v>1354</v>
      </c>
      <c r="D5" s="1195" t="s">
        <v>1355</v>
      </c>
      <c r="E5" s="1196" t="s">
        <v>1356</v>
      </c>
    </row>
    <row r="6" spans="1:5" s="1202" customFormat="1" ht="12" customHeight="1" thickBot="1">
      <c r="A6" s="1197">
        <v>1</v>
      </c>
      <c r="B6" s="1198">
        <v>2</v>
      </c>
      <c r="C6" s="1199">
        <v>3</v>
      </c>
      <c r="D6" s="1200">
        <v>4</v>
      </c>
      <c r="E6" s="1201">
        <v>5</v>
      </c>
    </row>
    <row r="7" spans="1:5" s="1207" customFormat="1" ht="18.75" customHeight="1">
      <c r="A7" s="1225" t="s">
        <v>171</v>
      </c>
      <c r="B7" s="1226" t="s">
        <v>1024</v>
      </c>
      <c r="C7" s="1227">
        <v>1551700</v>
      </c>
      <c r="D7" s="1228">
        <v>1126979.93</v>
      </c>
      <c r="E7" s="1229">
        <f aca="true" t="shared" si="0" ref="E7:E61">D7/C7*100</f>
        <v>72.62872526905973</v>
      </c>
    </row>
    <row r="8" spans="1:5" s="132" customFormat="1" ht="18.75" customHeight="1">
      <c r="A8" s="133" t="s">
        <v>172</v>
      </c>
      <c r="B8" s="134" t="s">
        <v>1025</v>
      </c>
      <c r="C8" s="135">
        <f>SUM(C9:C26)</f>
        <v>3221395</v>
      </c>
      <c r="D8" s="135">
        <f>SUM(D9:D26)</f>
        <v>1374124.1700000002</v>
      </c>
      <c r="E8" s="136">
        <f t="shared" si="0"/>
        <v>42.65618373406553</v>
      </c>
    </row>
    <row r="9" spans="1:5" s="1189" customFormat="1" ht="15.75" customHeight="1">
      <c r="A9" s="1208" t="s">
        <v>7</v>
      </c>
      <c r="B9" s="1209" t="s">
        <v>837</v>
      </c>
      <c r="C9" s="1210">
        <v>38700</v>
      </c>
      <c r="D9" s="1210">
        <v>11490.69</v>
      </c>
      <c r="E9" s="1211">
        <f t="shared" si="0"/>
        <v>29.69170542635659</v>
      </c>
    </row>
    <row r="10" spans="1:5" s="1189" customFormat="1" ht="29.25" customHeight="1">
      <c r="A10" s="1208" t="s">
        <v>8</v>
      </c>
      <c r="B10" s="1209" t="s">
        <v>271</v>
      </c>
      <c r="C10" s="1210">
        <v>696970</v>
      </c>
      <c r="D10" s="1210">
        <v>225007.24</v>
      </c>
      <c r="E10" s="1211">
        <f t="shared" si="0"/>
        <v>32.2836334418985</v>
      </c>
    </row>
    <row r="11" spans="1:5" s="1189" customFormat="1" ht="29.25" customHeight="1">
      <c r="A11" s="1208" t="s">
        <v>10</v>
      </c>
      <c r="B11" s="1209" t="s">
        <v>838</v>
      </c>
      <c r="C11" s="1210">
        <v>45000</v>
      </c>
      <c r="D11" s="1210">
        <v>24874.49</v>
      </c>
      <c r="E11" s="1211">
        <f t="shared" si="0"/>
        <v>55.27664444444444</v>
      </c>
    </row>
    <row r="12" spans="1:5" s="1189" customFormat="1" ht="15.75" customHeight="1">
      <c r="A12" s="1208" t="s">
        <v>17</v>
      </c>
      <c r="B12" s="1209" t="s">
        <v>1230</v>
      </c>
      <c r="C12" s="1210">
        <v>2100</v>
      </c>
      <c r="D12" s="1210">
        <v>0</v>
      </c>
      <c r="E12" s="1211">
        <f t="shared" si="0"/>
        <v>0</v>
      </c>
    </row>
    <row r="13" spans="1:5" s="1189" customFormat="1" ht="15.75" customHeight="1">
      <c r="A13" s="1208" t="s">
        <v>37</v>
      </c>
      <c r="B13" s="1209" t="s">
        <v>1225</v>
      </c>
      <c r="C13" s="1210">
        <v>281700</v>
      </c>
      <c r="D13" s="1210">
        <v>102432.26</v>
      </c>
      <c r="E13" s="1211">
        <f t="shared" si="0"/>
        <v>36.36217962371317</v>
      </c>
    </row>
    <row r="14" spans="1:5" s="1189" customFormat="1" ht="15.75" customHeight="1">
      <c r="A14" s="1208" t="s">
        <v>1029</v>
      </c>
      <c r="B14" s="1209" t="s">
        <v>1031</v>
      </c>
      <c r="C14" s="1210">
        <v>71200</v>
      </c>
      <c r="D14" s="1210">
        <v>56398.81</v>
      </c>
      <c r="E14" s="1211">
        <f t="shared" si="0"/>
        <v>79.2118117977528</v>
      </c>
    </row>
    <row r="15" spans="1:5" s="1189" customFormat="1" ht="15.75" customHeight="1">
      <c r="A15" s="1208" t="s">
        <v>1226</v>
      </c>
      <c r="B15" s="1209" t="s">
        <v>839</v>
      </c>
      <c r="C15" s="1210">
        <v>2100</v>
      </c>
      <c r="D15" s="1210">
        <v>549.64</v>
      </c>
      <c r="E15" s="1211">
        <f t="shared" si="0"/>
        <v>26.173333333333332</v>
      </c>
    </row>
    <row r="16" spans="1:5" s="1189" customFormat="1" ht="15.75" customHeight="1">
      <c r="A16" s="1208"/>
      <c r="B16" s="1209" t="s">
        <v>840</v>
      </c>
      <c r="C16" s="1210">
        <v>74000</v>
      </c>
      <c r="D16" s="1210">
        <v>31488.33</v>
      </c>
      <c r="E16" s="1211">
        <f t="shared" si="0"/>
        <v>42.5517972972973</v>
      </c>
    </row>
    <row r="17" spans="1:5" s="1189" customFormat="1" ht="15.75" customHeight="1">
      <c r="A17" s="1208" t="s">
        <v>1227</v>
      </c>
      <c r="B17" s="1209" t="s">
        <v>841</v>
      </c>
      <c r="C17" s="1210">
        <v>1250000</v>
      </c>
      <c r="D17" s="1210">
        <v>581906.53</v>
      </c>
      <c r="E17" s="1211">
        <f t="shared" si="0"/>
        <v>46.5525224</v>
      </c>
    </row>
    <row r="18" spans="1:5" s="1189" customFormat="1" ht="15.75" customHeight="1">
      <c r="A18" s="1208"/>
      <c r="B18" s="1209" t="s">
        <v>842</v>
      </c>
      <c r="C18" s="1210">
        <v>240000</v>
      </c>
      <c r="D18" s="1210">
        <v>96788.75</v>
      </c>
      <c r="E18" s="1211">
        <f t="shared" si="0"/>
        <v>40.32864583333333</v>
      </c>
    </row>
    <row r="19" spans="1:5" s="1189" customFormat="1" ht="15.75" customHeight="1">
      <c r="A19" s="1208" t="s">
        <v>1228</v>
      </c>
      <c r="B19" s="1209" t="s">
        <v>1386</v>
      </c>
      <c r="C19" s="1210">
        <v>9000</v>
      </c>
      <c r="D19" s="1210">
        <v>4400.02</v>
      </c>
      <c r="E19" s="1211">
        <f t="shared" si="0"/>
        <v>48.88911111111112</v>
      </c>
    </row>
    <row r="20" spans="1:5" s="1189" customFormat="1" ht="15.75" customHeight="1">
      <c r="A20" s="1208" t="s">
        <v>1229</v>
      </c>
      <c r="B20" s="1209" t="s">
        <v>1387</v>
      </c>
      <c r="C20" s="1210">
        <v>75225</v>
      </c>
      <c r="D20" s="1210">
        <v>18993.75</v>
      </c>
      <c r="E20" s="1211">
        <f t="shared" si="0"/>
        <v>25.24925224327019</v>
      </c>
    </row>
    <row r="21" spans="1:5" s="1189" customFormat="1" ht="15" customHeight="1">
      <c r="A21" s="1208" t="s">
        <v>1061</v>
      </c>
      <c r="B21" s="1209" t="s">
        <v>843</v>
      </c>
      <c r="C21" s="1210">
        <v>55200</v>
      </c>
      <c r="D21" s="1210">
        <v>30163.2</v>
      </c>
      <c r="E21" s="1211">
        <f t="shared" si="0"/>
        <v>54.64347826086957</v>
      </c>
    </row>
    <row r="22" spans="1:5" s="1189" customFormat="1" ht="15" customHeight="1">
      <c r="A22" s="1208" t="s">
        <v>1062</v>
      </c>
      <c r="B22" s="1209" t="s">
        <v>1388</v>
      </c>
      <c r="C22" s="1210">
        <v>107200</v>
      </c>
      <c r="D22" s="1210">
        <v>42420.02</v>
      </c>
      <c r="E22" s="1211">
        <f t="shared" si="0"/>
        <v>39.57091417910448</v>
      </c>
    </row>
    <row r="23" spans="1:5" s="1189" customFormat="1" ht="15" customHeight="1">
      <c r="A23" s="1208" t="s">
        <v>1063</v>
      </c>
      <c r="B23" s="1209" t="s">
        <v>1311</v>
      </c>
      <c r="C23" s="1210">
        <v>15000</v>
      </c>
      <c r="D23" s="1210">
        <v>11941.8</v>
      </c>
      <c r="E23" s="1211">
        <f t="shared" si="0"/>
        <v>79.612</v>
      </c>
    </row>
    <row r="24" spans="1:5" s="1189" customFormat="1" ht="15" customHeight="1">
      <c r="A24" s="1208" t="s">
        <v>1064</v>
      </c>
      <c r="B24" s="1209" t="s">
        <v>1389</v>
      </c>
      <c r="C24" s="1210">
        <v>27000</v>
      </c>
      <c r="D24" s="1210">
        <v>11925.12</v>
      </c>
      <c r="E24" s="1211">
        <f>D24/C24*100</f>
        <v>44.16711111111111</v>
      </c>
    </row>
    <row r="25" spans="1:5" s="1189" customFormat="1" ht="15" customHeight="1">
      <c r="A25" s="1208" t="s">
        <v>1196</v>
      </c>
      <c r="B25" s="1209" t="s">
        <v>1390</v>
      </c>
      <c r="C25" s="1210">
        <v>231000</v>
      </c>
      <c r="D25" s="1210">
        <v>123343.52</v>
      </c>
      <c r="E25" s="1211">
        <f t="shared" si="0"/>
        <v>53.3954632034632</v>
      </c>
    </row>
    <row r="26" spans="1:5" ht="15" customHeight="1" hidden="1">
      <c r="A26" s="137"/>
      <c r="B26" s="138"/>
      <c r="C26" s="139"/>
      <c r="D26" s="139"/>
      <c r="E26" s="140"/>
    </row>
    <row r="27" spans="1:5" s="1207" customFormat="1" ht="18.75" customHeight="1">
      <c r="A27" s="1203" t="s">
        <v>249</v>
      </c>
      <c r="B27" s="1204" t="s">
        <v>1032</v>
      </c>
      <c r="C27" s="1205">
        <f>SUM(C28:C30)</f>
        <v>848000</v>
      </c>
      <c r="D27" s="1205">
        <f>SUM(D28:D30)</f>
        <v>423095.48</v>
      </c>
      <c r="E27" s="1206">
        <f t="shared" si="0"/>
        <v>49.893334905660375</v>
      </c>
    </row>
    <row r="28" spans="1:5" s="1189" customFormat="1" ht="15.75" customHeight="1">
      <c r="A28" s="1208" t="s">
        <v>1033</v>
      </c>
      <c r="B28" s="1209" t="s">
        <v>1034</v>
      </c>
      <c r="C28" s="1210">
        <v>401000</v>
      </c>
      <c r="D28" s="1210">
        <v>205469.03</v>
      </c>
      <c r="E28" s="1211">
        <f t="shared" si="0"/>
        <v>51.23915960099751</v>
      </c>
    </row>
    <row r="29" spans="1:5" s="1189" customFormat="1" ht="15.75" customHeight="1">
      <c r="A29" s="1208" t="s">
        <v>1035</v>
      </c>
      <c r="B29" s="1209" t="s">
        <v>1036</v>
      </c>
      <c r="C29" s="1210">
        <v>137000</v>
      </c>
      <c r="D29" s="1210">
        <v>39040.43</v>
      </c>
      <c r="E29" s="1211">
        <f t="shared" si="0"/>
        <v>28.49666423357664</v>
      </c>
    </row>
    <row r="30" spans="1:5" s="1189" customFormat="1" ht="15.75" customHeight="1">
      <c r="A30" s="1230" t="s">
        <v>1037</v>
      </c>
      <c r="B30" s="1212" t="s">
        <v>1233</v>
      </c>
      <c r="C30" s="1214">
        <v>310000</v>
      </c>
      <c r="D30" s="1214">
        <v>178586.02</v>
      </c>
      <c r="E30" s="1216">
        <f t="shared" si="0"/>
        <v>57.60839354838709</v>
      </c>
    </row>
    <row r="31" spans="1:5" s="1207" customFormat="1" ht="18.75" customHeight="1">
      <c r="A31" s="1234" t="s">
        <v>256</v>
      </c>
      <c r="B31" s="1235" t="s">
        <v>1039</v>
      </c>
      <c r="C31" s="1236">
        <f>SUM(C32:C61)</f>
        <v>7182290</v>
      </c>
      <c r="D31" s="1236">
        <f>SUM(D32:D61)</f>
        <v>3308704.77</v>
      </c>
      <c r="E31" s="1237">
        <f t="shared" si="0"/>
        <v>46.06754628398463</v>
      </c>
    </row>
    <row r="32" spans="1:5" s="1189" customFormat="1" ht="15.75" customHeight="1">
      <c r="A32" s="1208" t="s">
        <v>1040</v>
      </c>
      <c r="B32" s="1209" t="s">
        <v>73</v>
      </c>
      <c r="C32" s="1210">
        <v>600780</v>
      </c>
      <c r="D32" s="1210">
        <v>194698.32</v>
      </c>
      <c r="E32" s="1211">
        <f t="shared" si="0"/>
        <v>32.40759013282732</v>
      </c>
    </row>
    <row r="33" spans="1:5" s="1189" customFormat="1" ht="15.75" customHeight="1">
      <c r="A33" s="1208" t="s">
        <v>1042</v>
      </c>
      <c r="B33" s="1209" t="s">
        <v>1059</v>
      </c>
      <c r="C33" s="1210">
        <v>42000</v>
      </c>
      <c r="D33" s="1210">
        <v>19399.97</v>
      </c>
      <c r="E33" s="1211">
        <f t="shared" si="0"/>
        <v>46.190404761904766</v>
      </c>
    </row>
    <row r="34" spans="1:5" s="1189" customFormat="1" ht="15.75" customHeight="1">
      <c r="A34" s="1208" t="s">
        <v>1044</v>
      </c>
      <c r="B34" s="1209" t="s">
        <v>1234</v>
      </c>
      <c r="C34" s="1210">
        <v>60000</v>
      </c>
      <c r="D34" s="1210">
        <v>26622.55</v>
      </c>
      <c r="E34" s="1211">
        <f t="shared" si="0"/>
        <v>44.370916666666666</v>
      </c>
    </row>
    <row r="35" spans="1:5" s="1189" customFormat="1" ht="51.75" customHeight="1">
      <c r="A35" s="1208" t="s">
        <v>1058</v>
      </c>
      <c r="B35" s="1209" t="s">
        <v>1391</v>
      </c>
      <c r="C35" s="1210">
        <v>118200</v>
      </c>
      <c r="D35" s="1210">
        <v>80578</v>
      </c>
      <c r="E35" s="1211">
        <f t="shared" si="0"/>
        <v>68.17089678510997</v>
      </c>
    </row>
    <row r="36" spans="1:5" s="1189" customFormat="1" ht="29.25" customHeight="1">
      <c r="A36" s="1208" t="s">
        <v>1060</v>
      </c>
      <c r="B36" s="1209" t="s">
        <v>844</v>
      </c>
      <c r="C36" s="1210">
        <v>84000</v>
      </c>
      <c r="D36" s="1210">
        <v>40165</v>
      </c>
      <c r="E36" s="1211">
        <f t="shared" si="0"/>
        <v>47.81547619047619</v>
      </c>
    </row>
    <row r="37" spans="1:5" s="1189" customFormat="1" ht="15" customHeight="1">
      <c r="A37" s="1208" t="s">
        <v>1102</v>
      </c>
      <c r="B37" s="1209" t="s">
        <v>1091</v>
      </c>
      <c r="C37" s="1210">
        <v>17000</v>
      </c>
      <c r="D37" s="1210">
        <v>9315.66</v>
      </c>
      <c r="E37" s="1211">
        <f>D37/C37*100</f>
        <v>54.798</v>
      </c>
    </row>
    <row r="38" spans="1:5" s="1189" customFormat="1" ht="15.75" customHeight="1">
      <c r="A38" s="1208" t="s">
        <v>1103</v>
      </c>
      <c r="B38" s="1209" t="s">
        <v>1043</v>
      </c>
      <c r="C38" s="1210">
        <v>106000</v>
      </c>
      <c r="D38" s="1210">
        <v>44269.66</v>
      </c>
      <c r="E38" s="1211">
        <f>D38/C38*100</f>
        <v>41.76383018867924</v>
      </c>
    </row>
    <row r="39" spans="1:5" s="1189" customFormat="1" ht="15" customHeight="1">
      <c r="A39" s="1208" t="s">
        <v>1104</v>
      </c>
      <c r="B39" s="1209" t="s">
        <v>290</v>
      </c>
      <c r="C39" s="1210">
        <v>29400</v>
      </c>
      <c r="D39" s="1210">
        <v>19852.2</v>
      </c>
      <c r="E39" s="1211">
        <f>D39/C39*100</f>
        <v>67.52448979591837</v>
      </c>
    </row>
    <row r="40" spans="1:5" s="1189" customFormat="1" ht="16.5" customHeight="1">
      <c r="A40" s="1208" t="s">
        <v>1105</v>
      </c>
      <c r="B40" s="1209" t="s">
        <v>845</v>
      </c>
      <c r="C40" s="1210">
        <v>180000</v>
      </c>
      <c r="D40" s="1210">
        <v>74860.28</v>
      </c>
      <c r="E40" s="1211">
        <f t="shared" si="0"/>
        <v>41.58904444444445</v>
      </c>
    </row>
    <row r="41" spans="1:5" s="1189" customFormat="1" ht="16.5" customHeight="1">
      <c r="A41" s="1208" t="s">
        <v>1251</v>
      </c>
      <c r="B41" s="1209" t="s">
        <v>846</v>
      </c>
      <c r="C41" s="1210">
        <v>16000</v>
      </c>
      <c r="D41" s="1210">
        <v>9237.73</v>
      </c>
      <c r="E41" s="1211">
        <f t="shared" si="0"/>
        <v>57.735812499999994</v>
      </c>
    </row>
    <row r="42" spans="1:5" s="1189" customFormat="1" ht="15" customHeight="1">
      <c r="A42" s="1208" t="s">
        <v>574</v>
      </c>
      <c r="B42" s="1209" t="s">
        <v>1067</v>
      </c>
      <c r="C42" s="1210">
        <v>80300</v>
      </c>
      <c r="D42" s="1210">
        <v>35173.37</v>
      </c>
      <c r="E42" s="1211">
        <f aca="true" t="shared" si="1" ref="E42:E47">D42/C42*100</f>
        <v>43.80245330012454</v>
      </c>
    </row>
    <row r="43" spans="1:5" s="1189" customFormat="1" ht="15" customHeight="1">
      <c r="A43" s="1208" t="s">
        <v>1081</v>
      </c>
      <c r="B43" s="1209" t="s">
        <v>713</v>
      </c>
      <c r="C43" s="1210">
        <v>260000</v>
      </c>
      <c r="D43" s="1210">
        <v>118659.63</v>
      </c>
      <c r="E43" s="1211">
        <f t="shared" si="1"/>
        <v>45.638319230769234</v>
      </c>
    </row>
    <row r="44" spans="1:5" s="1189" customFormat="1" ht="15" customHeight="1">
      <c r="A44" s="1208" t="s">
        <v>1082</v>
      </c>
      <c r="B44" s="1209" t="s">
        <v>241</v>
      </c>
      <c r="C44" s="1210">
        <v>9720</v>
      </c>
      <c r="D44" s="1210">
        <v>4860</v>
      </c>
      <c r="E44" s="1211">
        <f t="shared" si="1"/>
        <v>50</v>
      </c>
    </row>
    <row r="45" spans="1:5" s="1189" customFormat="1" ht="15" customHeight="1">
      <c r="A45" s="1208" t="s">
        <v>1083</v>
      </c>
      <c r="B45" s="1209" t="s">
        <v>1392</v>
      </c>
      <c r="C45" s="1210">
        <v>35880</v>
      </c>
      <c r="D45" s="1210">
        <v>10777.81</v>
      </c>
      <c r="E45" s="1211">
        <f t="shared" si="1"/>
        <v>30.038489409141583</v>
      </c>
    </row>
    <row r="46" spans="1:5" s="1189" customFormat="1" ht="15" customHeight="1">
      <c r="A46" s="1208" t="s">
        <v>1084</v>
      </c>
      <c r="B46" s="1209" t="s">
        <v>1393</v>
      </c>
      <c r="C46" s="1210">
        <v>240</v>
      </c>
      <c r="D46" s="1210">
        <v>119.6</v>
      </c>
      <c r="E46" s="1211">
        <f t="shared" si="1"/>
        <v>49.83333333333333</v>
      </c>
    </row>
    <row r="47" spans="1:5" s="1189" customFormat="1" ht="15" customHeight="1">
      <c r="A47" s="1208" t="s">
        <v>1085</v>
      </c>
      <c r="B47" s="1209" t="s">
        <v>847</v>
      </c>
      <c r="C47" s="1210">
        <v>44280</v>
      </c>
      <c r="D47" s="1210">
        <v>22140</v>
      </c>
      <c r="E47" s="1211">
        <f t="shared" si="1"/>
        <v>50</v>
      </c>
    </row>
    <row r="48" spans="1:5" s="1189" customFormat="1" ht="15" customHeight="1">
      <c r="A48" s="1208" t="s">
        <v>1086</v>
      </c>
      <c r="B48" s="1209" t="s">
        <v>1068</v>
      </c>
      <c r="C48" s="1210">
        <v>11700</v>
      </c>
      <c r="D48" s="1210">
        <v>6483.78</v>
      </c>
      <c r="E48" s="1211">
        <f t="shared" si="0"/>
        <v>55.41692307692308</v>
      </c>
    </row>
    <row r="49" spans="1:5" s="1189" customFormat="1" ht="15" customHeight="1">
      <c r="A49" s="1208" t="s">
        <v>1087</v>
      </c>
      <c r="B49" s="1209" t="s">
        <v>1243</v>
      </c>
      <c r="C49" s="1210">
        <v>19200</v>
      </c>
      <c r="D49" s="1231">
        <v>9600</v>
      </c>
      <c r="E49" s="1211">
        <f t="shared" si="0"/>
        <v>50</v>
      </c>
    </row>
    <row r="50" spans="1:5" s="1189" customFormat="1" ht="15" customHeight="1">
      <c r="A50" s="1208" t="s">
        <v>1088</v>
      </c>
      <c r="B50" s="1209" t="s">
        <v>1394</v>
      </c>
      <c r="C50" s="1210">
        <v>5000</v>
      </c>
      <c r="D50" s="1231">
        <v>3385.01</v>
      </c>
      <c r="E50" s="1211">
        <f t="shared" si="0"/>
        <v>67.7002</v>
      </c>
    </row>
    <row r="51" spans="1:5" s="1189" customFormat="1" ht="15" customHeight="1">
      <c r="A51" s="1208" t="s">
        <v>1089</v>
      </c>
      <c r="B51" s="1209" t="s">
        <v>848</v>
      </c>
      <c r="C51" s="1210">
        <v>68000</v>
      </c>
      <c r="D51" s="1231">
        <v>0</v>
      </c>
      <c r="E51" s="1211">
        <f t="shared" si="0"/>
        <v>0</v>
      </c>
    </row>
    <row r="52" spans="1:5" s="1189" customFormat="1" ht="15" customHeight="1">
      <c r="A52" s="1208" t="s">
        <v>1090</v>
      </c>
      <c r="B52" s="1209" t="s">
        <v>1235</v>
      </c>
      <c r="C52" s="1210">
        <v>72000</v>
      </c>
      <c r="D52" s="1231">
        <v>36506</v>
      </c>
      <c r="E52" s="1211">
        <f t="shared" si="0"/>
        <v>50.702777777777776</v>
      </c>
    </row>
    <row r="53" spans="1:5" s="1189" customFormat="1" ht="15" customHeight="1">
      <c r="A53" s="1208" t="s">
        <v>291</v>
      </c>
      <c r="B53" s="1209" t="s">
        <v>1395</v>
      </c>
      <c r="C53" s="1210">
        <v>101040</v>
      </c>
      <c r="D53" s="1231">
        <v>47256.6</v>
      </c>
      <c r="E53" s="1211">
        <f t="shared" si="0"/>
        <v>46.77019002375297</v>
      </c>
    </row>
    <row r="54" spans="1:5" s="1189" customFormat="1" ht="15.75" customHeight="1">
      <c r="A54" s="1208" t="s">
        <v>292</v>
      </c>
      <c r="B54" s="1232" t="s">
        <v>1065</v>
      </c>
      <c r="C54" s="1210">
        <v>3739000</v>
      </c>
      <c r="D54" s="1231">
        <v>1769489.81</v>
      </c>
      <c r="E54" s="1211">
        <f>D54/C54*100</f>
        <v>47.32521556565927</v>
      </c>
    </row>
    <row r="55" spans="1:5" s="1189" customFormat="1" ht="15.75" customHeight="1">
      <c r="A55" s="1208" t="s">
        <v>293</v>
      </c>
      <c r="B55" s="1232" t="s">
        <v>1066</v>
      </c>
      <c r="C55" s="1210">
        <v>904900</v>
      </c>
      <c r="D55" s="1231">
        <v>430942.5</v>
      </c>
      <c r="E55" s="1211">
        <f>D55/C55*100</f>
        <v>47.62321803514201</v>
      </c>
    </row>
    <row r="56" spans="1:5" s="1189" customFormat="1" ht="29.25" customHeight="1">
      <c r="A56" s="1208" t="s">
        <v>294</v>
      </c>
      <c r="B56" s="1232" t="s">
        <v>1396</v>
      </c>
      <c r="C56" s="1210">
        <v>297000</v>
      </c>
      <c r="D56" s="1231">
        <v>148690</v>
      </c>
      <c r="E56" s="1211">
        <f>D56/C56*100</f>
        <v>50.063973063973066</v>
      </c>
    </row>
    <row r="57" spans="1:5" s="1189" customFormat="1" ht="15" customHeight="1">
      <c r="A57" s="1208" t="s">
        <v>295</v>
      </c>
      <c r="B57" s="1232" t="s">
        <v>1397</v>
      </c>
      <c r="C57" s="1210">
        <v>88000</v>
      </c>
      <c r="D57" s="1231">
        <v>43250</v>
      </c>
      <c r="E57" s="1211">
        <f t="shared" si="0"/>
        <v>49.14772727272727</v>
      </c>
    </row>
    <row r="58" spans="1:5" s="1189" customFormat="1" ht="12.75">
      <c r="A58" s="1208" t="s">
        <v>1093</v>
      </c>
      <c r="B58" s="1232" t="s">
        <v>1092</v>
      </c>
      <c r="C58" s="1210">
        <v>150000</v>
      </c>
      <c r="D58" s="1231">
        <v>75000</v>
      </c>
      <c r="E58" s="1211">
        <f t="shared" si="0"/>
        <v>50</v>
      </c>
    </row>
    <row r="59" spans="1:5" s="1189" customFormat="1" ht="12.75">
      <c r="A59" s="1208" t="s">
        <v>1094</v>
      </c>
      <c r="B59" s="1232" t="s">
        <v>849</v>
      </c>
      <c r="C59" s="1210">
        <v>12000</v>
      </c>
      <c r="D59" s="1231">
        <v>3490.5</v>
      </c>
      <c r="E59" s="1211">
        <f t="shared" si="0"/>
        <v>29.0875</v>
      </c>
    </row>
    <row r="60" spans="1:5" s="1189" customFormat="1" ht="12.75">
      <c r="A60" s="1208" t="s">
        <v>1095</v>
      </c>
      <c r="B60" s="1232" t="s">
        <v>850</v>
      </c>
      <c r="C60" s="1210">
        <v>6150</v>
      </c>
      <c r="D60" s="1231">
        <v>6150</v>
      </c>
      <c r="E60" s="1211">
        <f t="shared" si="0"/>
        <v>100</v>
      </c>
    </row>
    <row r="61" spans="1:5" s="1189" customFormat="1" ht="54.75" customHeight="1">
      <c r="A61" s="1230" t="s">
        <v>1398</v>
      </c>
      <c r="B61" s="1212" t="s">
        <v>851</v>
      </c>
      <c r="C61" s="1214">
        <v>24500</v>
      </c>
      <c r="D61" s="1233">
        <v>17730.79</v>
      </c>
      <c r="E61" s="1216">
        <f t="shared" si="0"/>
        <v>72.37057142857142</v>
      </c>
    </row>
    <row r="62" spans="1:5" s="1207" customFormat="1" ht="18.75" customHeight="1">
      <c r="A62" s="1234" t="s">
        <v>257</v>
      </c>
      <c r="B62" s="1235" t="s">
        <v>1106</v>
      </c>
      <c r="C62" s="1236">
        <f>SUM(C63:C64)</f>
        <v>5832600</v>
      </c>
      <c r="D62" s="1236">
        <f>SUM(D63:D64)</f>
        <v>2833662.94</v>
      </c>
      <c r="E62" s="1237">
        <f aca="true" t="shared" si="2" ref="E62:E96">D62/C62*100</f>
        <v>48.5831865720262</v>
      </c>
    </row>
    <row r="63" spans="1:5" s="1189" customFormat="1" ht="15.75" customHeight="1">
      <c r="A63" s="1208" t="s">
        <v>1107</v>
      </c>
      <c r="B63" s="1209" t="s">
        <v>1069</v>
      </c>
      <c r="C63" s="1210">
        <v>5602700</v>
      </c>
      <c r="D63" s="1210">
        <v>2721816.09</v>
      </c>
      <c r="E63" s="1211">
        <f t="shared" si="2"/>
        <v>48.58043603976654</v>
      </c>
    </row>
    <row r="64" spans="1:5" s="1189" customFormat="1" ht="15.75" customHeight="1">
      <c r="A64" s="1215" t="s">
        <v>1108</v>
      </c>
      <c r="B64" s="1212" t="s">
        <v>563</v>
      </c>
      <c r="C64" s="1214">
        <v>229900</v>
      </c>
      <c r="D64" s="1214">
        <v>111846.85</v>
      </c>
      <c r="E64" s="1216">
        <f t="shared" si="2"/>
        <v>48.65021748586342</v>
      </c>
    </row>
    <row r="65" spans="1:5" s="1189" customFormat="1" ht="18.75" customHeight="1">
      <c r="A65" s="1217" t="s">
        <v>258</v>
      </c>
      <c r="B65" s="1218" t="s">
        <v>1109</v>
      </c>
      <c r="C65" s="1219">
        <v>1102000</v>
      </c>
      <c r="D65" s="1219">
        <v>530730.01</v>
      </c>
      <c r="E65" s="1220">
        <f t="shared" si="2"/>
        <v>48.16061796733212</v>
      </c>
    </row>
    <row r="66" spans="1:5" s="1189" customFormat="1" ht="18.75" customHeight="1">
      <c r="A66" s="1234" t="s">
        <v>330</v>
      </c>
      <c r="B66" s="1235" t="s">
        <v>1110</v>
      </c>
      <c r="C66" s="1236">
        <f>SUM(C67:C68)</f>
        <v>28200</v>
      </c>
      <c r="D66" s="1236">
        <f>SUM(D67:D68)</f>
        <v>5480</v>
      </c>
      <c r="E66" s="1237">
        <f t="shared" si="2"/>
        <v>19.43262411347518</v>
      </c>
    </row>
    <row r="67" spans="1:5" s="1189" customFormat="1" ht="15.75" customHeight="1">
      <c r="A67" s="1208" t="s">
        <v>1255</v>
      </c>
      <c r="B67" s="1209" t="s">
        <v>622</v>
      </c>
      <c r="C67" s="1210">
        <v>0</v>
      </c>
      <c r="D67" s="1210">
        <v>0</v>
      </c>
      <c r="E67" s="1329" t="s">
        <v>144</v>
      </c>
    </row>
    <row r="68" spans="1:5" s="1189" customFormat="1" ht="26.25" customHeight="1">
      <c r="A68" s="1215" t="s">
        <v>1256</v>
      </c>
      <c r="B68" s="1212" t="s">
        <v>1098</v>
      </c>
      <c r="C68" s="1214">
        <v>28200</v>
      </c>
      <c r="D68" s="1214">
        <v>5480</v>
      </c>
      <c r="E68" s="1216">
        <f t="shared" si="2"/>
        <v>19.43262411347518</v>
      </c>
    </row>
    <row r="69" spans="1:5" s="1207" customFormat="1" ht="18.75" customHeight="1">
      <c r="A69" s="1203" t="s">
        <v>331</v>
      </c>
      <c r="B69" s="1204" t="s">
        <v>1111</v>
      </c>
      <c r="C69" s="1205">
        <f>SUM(C70:C72)</f>
        <v>186500</v>
      </c>
      <c r="D69" s="1205">
        <f>SUM(D70:D72)</f>
        <v>103736.83</v>
      </c>
      <c r="E69" s="1206">
        <f t="shared" si="2"/>
        <v>55.62296514745309</v>
      </c>
    </row>
    <row r="70" spans="1:5" s="1189" customFormat="1" ht="15.75" customHeight="1">
      <c r="A70" s="1208" t="s">
        <v>1112</v>
      </c>
      <c r="B70" s="1209" t="s">
        <v>1113</v>
      </c>
      <c r="C70" s="1210">
        <v>34500</v>
      </c>
      <c r="D70" s="1210">
        <v>29327</v>
      </c>
      <c r="E70" s="1211">
        <f t="shared" si="2"/>
        <v>85.00579710144928</v>
      </c>
    </row>
    <row r="71" spans="1:5" s="1189" customFormat="1" ht="26.25" customHeight="1">
      <c r="A71" s="1208" t="s">
        <v>1114</v>
      </c>
      <c r="B71" s="1209" t="s">
        <v>1336</v>
      </c>
      <c r="C71" s="1210">
        <v>150000</v>
      </c>
      <c r="D71" s="1210">
        <v>73873</v>
      </c>
      <c r="E71" s="1211">
        <f t="shared" si="2"/>
        <v>49.248666666666665</v>
      </c>
    </row>
    <row r="72" spans="1:5" s="1189" customFormat="1" ht="15.75" customHeight="1">
      <c r="A72" s="1215" t="s">
        <v>1261</v>
      </c>
      <c r="B72" s="1212" t="s">
        <v>1262</v>
      </c>
      <c r="C72" s="1214">
        <v>2000</v>
      </c>
      <c r="D72" s="1214">
        <v>536.83</v>
      </c>
      <c r="E72" s="1216">
        <f t="shared" si="2"/>
        <v>26.8415</v>
      </c>
    </row>
    <row r="73" spans="1:5" s="1207" customFormat="1" ht="18.75" customHeight="1">
      <c r="A73" s="1203" t="s">
        <v>261</v>
      </c>
      <c r="B73" s="1204" t="s">
        <v>1080</v>
      </c>
      <c r="C73" s="1205">
        <v>5000</v>
      </c>
      <c r="D73" s="1205">
        <v>2492.58</v>
      </c>
      <c r="E73" s="1206">
        <f t="shared" si="2"/>
        <v>49.8516</v>
      </c>
    </row>
    <row r="74" spans="1:5" s="1207" customFormat="1" ht="30" customHeight="1">
      <c r="A74" s="1203" t="s">
        <v>332</v>
      </c>
      <c r="B74" s="1204" t="s">
        <v>74</v>
      </c>
      <c r="C74" s="1205">
        <v>301550</v>
      </c>
      <c r="D74" s="1205">
        <v>301522</v>
      </c>
      <c r="E74" s="1206">
        <f t="shared" si="2"/>
        <v>99.9907146410214</v>
      </c>
    </row>
    <row r="75" spans="1:7" s="1207" customFormat="1" ht="18.75" customHeight="1">
      <c r="A75" s="1217" t="s">
        <v>262</v>
      </c>
      <c r="B75" s="1218" t="s">
        <v>1203</v>
      </c>
      <c r="C75" s="1219">
        <f>SUM(C7+C8+C27+C31+C62+C65+C66+C69+C73+C74)</f>
        <v>20259235</v>
      </c>
      <c r="D75" s="1219">
        <f>SUM(D7+D8+D27+D31+D62+D65+D66+D69+D73+D74)</f>
        <v>10010528.709999999</v>
      </c>
      <c r="E75" s="1220">
        <f t="shared" si="2"/>
        <v>49.41217528697406</v>
      </c>
      <c r="G75" s="1238"/>
    </row>
    <row r="76" spans="1:5" s="1207" customFormat="1" ht="18.75" customHeight="1">
      <c r="A76" s="1203" t="s">
        <v>263</v>
      </c>
      <c r="B76" s="1204" t="s">
        <v>1204</v>
      </c>
      <c r="C76" s="1205">
        <f>SUM(C77,C78,C79,C80,C81,C82,C83,C84)</f>
        <v>15394527</v>
      </c>
      <c r="D76" s="1205">
        <f>SUM(D77,D78,D79,D80,D81,D82,D83,D84)</f>
        <v>7671321.5600000005</v>
      </c>
      <c r="E76" s="1206">
        <f t="shared" si="2"/>
        <v>49.831485956015406</v>
      </c>
    </row>
    <row r="77" spans="1:5" s="1189" customFormat="1" ht="15.75" customHeight="1">
      <c r="A77" s="1208" t="s">
        <v>236</v>
      </c>
      <c r="B77" s="1209" t="s">
        <v>1401</v>
      </c>
      <c r="C77" s="1210">
        <v>11379451</v>
      </c>
      <c r="D77" s="1210">
        <v>5580507.81</v>
      </c>
      <c r="E77" s="1211">
        <f t="shared" si="2"/>
        <v>49.040220042249835</v>
      </c>
    </row>
    <row r="78" spans="1:5" s="1189" customFormat="1" ht="30.75" customHeight="1">
      <c r="A78" s="1208" t="s">
        <v>237</v>
      </c>
      <c r="B78" s="1209" t="s">
        <v>1403</v>
      </c>
      <c r="C78" s="1210">
        <v>1087462</v>
      </c>
      <c r="D78" s="1210">
        <v>559232.53</v>
      </c>
      <c r="E78" s="1211">
        <f t="shared" si="2"/>
        <v>51.425477855777956</v>
      </c>
    </row>
    <row r="79" spans="1:5" s="1189" customFormat="1" ht="32.25" customHeight="1">
      <c r="A79" s="1208" t="s">
        <v>238</v>
      </c>
      <c r="B79" s="1209" t="s">
        <v>1404</v>
      </c>
      <c r="C79" s="1210">
        <v>851754</v>
      </c>
      <c r="D79" s="1210">
        <v>393107.5</v>
      </c>
      <c r="E79" s="1211">
        <f t="shared" si="2"/>
        <v>46.15270371492238</v>
      </c>
    </row>
    <row r="80" spans="1:5" s="1189" customFormat="1" ht="21" customHeight="1">
      <c r="A80" s="1208" t="s">
        <v>1096</v>
      </c>
      <c r="B80" s="1209" t="s">
        <v>1405</v>
      </c>
      <c r="C80" s="1210">
        <v>560160</v>
      </c>
      <c r="D80" s="1210">
        <v>280130</v>
      </c>
      <c r="E80" s="1211">
        <f t="shared" si="2"/>
        <v>50.008926021136816</v>
      </c>
    </row>
    <row r="81" spans="1:5" s="1189" customFormat="1" ht="29.25" customHeight="1">
      <c r="A81" s="1208" t="s">
        <v>1097</v>
      </c>
      <c r="B81" s="1209" t="s">
        <v>1406</v>
      </c>
      <c r="C81" s="1210">
        <v>180000</v>
      </c>
      <c r="D81" s="1210">
        <v>54114.17</v>
      </c>
      <c r="E81" s="1211">
        <f t="shared" si="2"/>
        <v>30.06342777777778</v>
      </c>
    </row>
    <row r="82" spans="1:5" s="1189" customFormat="1" ht="63.75" customHeight="1" hidden="1">
      <c r="A82" s="1208" t="s">
        <v>1408</v>
      </c>
      <c r="B82" s="1209" t="s">
        <v>585</v>
      </c>
      <c r="C82" s="1210">
        <v>0</v>
      </c>
      <c r="D82" s="1210">
        <v>0</v>
      </c>
      <c r="E82" s="1329" t="s">
        <v>144</v>
      </c>
    </row>
    <row r="83" spans="1:5" s="1189" customFormat="1" ht="15.75" customHeight="1">
      <c r="A83" s="1208" t="s">
        <v>1408</v>
      </c>
      <c r="B83" s="1209" t="s">
        <v>1407</v>
      </c>
      <c r="C83" s="1210">
        <v>750000</v>
      </c>
      <c r="D83" s="1210">
        <v>503715.73</v>
      </c>
      <c r="E83" s="1211">
        <f>D83/C83*100</f>
        <v>67.16209733333332</v>
      </c>
    </row>
    <row r="84" spans="1:5" s="1189" customFormat="1" ht="18" customHeight="1">
      <c r="A84" s="1208" t="s">
        <v>1409</v>
      </c>
      <c r="B84" s="1209" t="s">
        <v>836</v>
      </c>
      <c r="C84" s="1210">
        <v>585700</v>
      </c>
      <c r="D84" s="1210">
        <v>300513.82</v>
      </c>
      <c r="E84" s="1211">
        <f t="shared" si="2"/>
        <v>51.30848898753628</v>
      </c>
    </row>
    <row r="85" spans="1:5" s="1189" customFormat="1" ht="15.75" customHeight="1" hidden="1">
      <c r="A85" s="1208"/>
      <c r="B85" s="1212"/>
      <c r="C85" s="1213"/>
      <c r="D85" s="1214"/>
      <c r="E85" s="1211"/>
    </row>
    <row r="86" spans="1:5" s="1207" customFormat="1" ht="18.75" customHeight="1">
      <c r="A86" s="1217" t="s">
        <v>333</v>
      </c>
      <c r="B86" s="1218" t="s">
        <v>1207</v>
      </c>
      <c r="C86" s="1219">
        <v>10000</v>
      </c>
      <c r="D86" s="1219">
        <v>3561</v>
      </c>
      <c r="E86" s="1220">
        <f t="shared" si="2"/>
        <v>35.61</v>
      </c>
    </row>
    <row r="87" spans="1:5" s="1207" customFormat="1" ht="18.75" customHeight="1">
      <c r="A87" s="1203" t="s">
        <v>264</v>
      </c>
      <c r="B87" s="1204" t="s">
        <v>564</v>
      </c>
      <c r="C87" s="1205">
        <f>SUM(C88:C90)</f>
        <v>1328582</v>
      </c>
      <c r="D87" s="1205">
        <f>SUM(D88:D90)</f>
        <v>969370.04</v>
      </c>
      <c r="E87" s="1206">
        <f t="shared" si="2"/>
        <v>72.96275578022284</v>
      </c>
    </row>
    <row r="88" spans="1:5" s="1189" customFormat="1" ht="15.75" customHeight="1">
      <c r="A88" s="1208" t="s">
        <v>239</v>
      </c>
      <c r="B88" s="1209" t="s">
        <v>1410</v>
      </c>
      <c r="C88" s="1210">
        <v>303752</v>
      </c>
      <c r="D88" s="1210">
        <v>64780.89</v>
      </c>
      <c r="E88" s="1211">
        <f t="shared" si="2"/>
        <v>21.326901551265507</v>
      </c>
    </row>
    <row r="89" spans="1:5" s="1189" customFormat="1" ht="72" customHeight="1">
      <c r="A89" s="1208" t="s">
        <v>240</v>
      </c>
      <c r="B89" s="1209" t="s">
        <v>1413</v>
      </c>
      <c r="C89" s="1210">
        <v>108079</v>
      </c>
      <c r="D89" s="1210">
        <v>69797.37</v>
      </c>
      <c r="E89" s="1211">
        <f t="shared" si="2"/>
        <v>64.57995540299225</v>
      </c>
    </row>
    <row r="90" spans="1:5" s="1189" customFormat="1" ht="15.75" customHeight="1">
      <c r="A90" s="1215" t="s">
        <v>1412</v>
      </c>
      <c r="B90" s="1212" t="s">
        <v>1411</v>
      </c>
      <c r="C90" s="1214">
        <v>916751</v>
      </c>
      <c r="D90" s="1214">
        <v>834791.78</v>
      </c>
      <c r="E90" s="1216">
        <f t="shared" si="2"/>
        <v>91.05981667868375</v>
      </c>
    </row>
    <row r="91" spans="1:5" s="1207" customFormat="1" ht="18.75" customHeight="1">
      <c r="A91" s="1221" t="s">
        <v>265</v>
      </c>
      <c r="B91" s="1218" t="s">
        <v>1263</v>
      </c>
      <c r="C91" s="1219">
        <v>799000</v>
      </c>
      <c r="D91" s="1219">
        <v>318476.98</v>
      </c>
      <c r="E91" s="1220">
        <f t="shared" si="2"/>
        <v>39.85944680851063</v>
      </c>
    </row>
    <row r="92" spans="1:5" s="1207" customFormat="1" ht="18.75" customHeight="1">
      <c r="A92" s="1221" t="s">
        <v>266</v>
      </c>
      <c r="B92" s="1222" t="s">
        <v>565</v>
      </c>
      <c r="C92" s="1219">
        <v>820000</v>
      </c>
      <c r="D92" s="1219">
        <v>595156.49</v>
      </c>
      <c r="E92" s="1220">
        <f t="shared" si="2"/>
        <v>72.58005975609755</v>
      </c>
    </row>
    <row r="93" spans="1:5" s="132" customFormat="1" ht="18.75" customHeight="1" hidden="1">
      <c r="A93" s="142" t="s">
        <v>267</v>
      </c>
      <c r="B93" s="143" t="s">
        <v>1264</v>
      </c>
      <c r="C93" s="144">
        <v>0</v>
      </c>
      <c r="D93" s="141">
        <v>0</v>
      </c>
      <c r="E93" s="145" t="s">
        <v>144</v>
      </c>
    </row>
    <row r="94" spans="1:5" s="132" customFormat="1" ht="18.75" customHeight="1" hidden="1">
      <c r="A94" s="142" t="s">
        <v>274</v>
      </c>
      <c r="B94" s="143" t="s">
        <v>1265</v>
      </c>
      <c r="C94" s="144">
        <v>0</v>
      </c>
      <c r="D94" s="141">
        <v>0</v>
      </c>
      <c r="E94" s="145" t="s">
        <v>144</v>
      </c>
    </row>
    <row r="95" spans="1:7" s="1189" customFormat="1" ht="18.75" customHeight="1">
      <c r="A95" s="1221" t="s">
        <v>267</v>
      </c>
      <c r="B95" s="1222" t="s">
        <v>1268</v>
      </c>
      <c r="C95" s="1223">
        <f>SUM(C75+C91+C92+C94)</f>
        <v>21878235</v>
      </c>
      <c r="D95" s="1219">
        <f>SUM(D75+D91+D92+D94)</f>
        <v>10924162.18</v>
      </c>
      <c r="E95" s="1220">
        <f t="shared" si="2"/>
        <v>49.931642931890984</v>
      </c>
      <c r="G95" s="1239"/>
    </row>
    <row r="96" spans="1:5" s="1189" customFormat="1" ht="18.75" customHeight="1">
      <c r="A96" s="1221" t="s">
        <v>274</v>
      </c>
      <c r="B96" s="1222" t="s">
        <v>1210</v>
      </c>
      <c r="C96" s="1219">
        <f>SUM(C76+C86+C87+C93)</f>
        <v>16733109</v>
      </c>
      <c r="D96" s="1219">
        <f>SUM(D76+D86+D87+D93)</f>
        <v>8644252.600000001</v>
      </c>
      <c r="E96" s="1220">
        <f t="shared" si="2"/>
        <v>51.65957264725881</v>
      </c>
    </row>
    <row r="97" spans="1:5" s="1189" customFormat="1" ht="18.75" customHeight="1">
      <c r="A97" s="1221" t="s">
        <v>275</v>
      </c>
      <c r="B97" s="1222" t="s">
        <v>1269</v>
      </c>
      <c r="C97" s="1223">
        <v>0</v>
      </c>
      <c r="D97" s="1219">
        <v>205340.39</v>
      </c>
      <c r="E97" s="1224" t="s">
        <v>144</v>
      </c>
    </row>
    <row r="98" spans="1:5" s="1189" customFormat="1" ht="18.75" customHeight="1" thickBot="1">
      <c r="A98" s="1240" t="s">
        <v>276</v>
      </c>
      <c r="B98" s="1241" t="s">
        <v>1270</v>
      </c>
      <c r="C98" s="1242">
        <f>SUM(C96-C95+C97)</f>
        <v>-5145126</v>
      </c>
      <c r="D98" s="1242">
        <f>SUM(D96-D95+D97)</f>
        <v>-2074569.189999998</v>
      </c>
      <c r="E98" s="1243" t="s">
        <v>144</v>
      </c>
    </row>
  </sheetData>
  <sheetProtection password="CF53" sheet="1" formatRows="0" insertColumns="0" insertRows="0" insertHyperlinks="0" deleteColumns="0" deleteRows="0" sort="0" autoFilter="0" pivotTables="0"/>
  <mergeCells count="2">
    <mergeCell ref="A3:E3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E57"/>
  <sheetViews>
    <sheetView tabSelected="1" view="pageBreakPreview" zoomScaleSheetLayoutView="100" zoomScalePageLayoutView="0" workbookViewId="0" topLeftCell="A1">
      <pane ySplit="7" topLeftCell="A44" activePane="bottomLeft" state="frozen"/>
      <selection pane="topLeft" activeCell="I244" sqref="I244"/>
      <selection pane="bottomLeft" activeCell="G55" sqref="G55"/>
    </sheetView>
  </sheetViews>
  <sheetFormatPr defaultColWidth="9.00390625" defaultRowHeight="12.75"/>
  <cols>
    <col min="1" max="1" width="5.125" style="1188" customWidth="1"/>
    <col min="2" max="2" width="38.125" style="1189" customWidth="1"/>
    <col min="3" max="3" width="18.25390625" style="1190" customWidth="1"/>
    <col min="4" max="4" width="16.25390625" style="1190" customWidth="1"/>
    <col min="5" max="5" width="8.00390625" style="1189" customWidth="1"/>
    <col min="6" max="16384" width="9.125" style="1189" customWidth="1"/>
  </cols>
  <sheetData>
    <row r="1" spans="4:5" ht="12.75">
      <c r="D1" s="1781" t="s">
        <v>614</v>
      </c>
      <c r="E1" s="1781"/>
    </row>
    <row r="2" ht="39.75" customHeight="1"/>
    <row r="3" spans="1:5" ht="26.25" customHeight="1">
      <c r="A3" s="1780" t="s">
        <v>1212</v>
      </c>
      <c r="B3" s="1780"/>
      <c r="C3" s="1780"/>
      <c r="D3" s="1780"/>
      <c r="E3" s="1780"/>
    </row>
    <row r="4" spans="1:5" ht="9" customHeight="1">
      <c r="A4" s="1261"/>
      <c r="B4" s="1261"/>
      <c r="C4" s="1261"/>
      <c r="D4" s="1261"/>
      <c r="E4" s="1261"/>
    </row>
    <row r="5" spans="4:5" ht="13.5" thickBot="1">
      <c r="D5" s="1191"/>
      <c r="E5" s="1191" t="s">
        <v>1351</v>
      </c>
    </row>
    <row r="6" spans="1:5" s="1188" customFormat="1" ht="15" customHeight="1">
      <c r="A6" s="1314" t="s">
        <v>168</v>
      </c>
      <c r="B6" s="1315" t="s">
        <v>1353</v>
      </c>
      <c r="C6" s="1195" t="s">
        <v>1354</v>
      </c>
      <c r="D6" s="1195" t="s">
        <v>1355</v>
      </c>
      <c r="E6" s="1196" t="s">
        <v>1356</v>
      </c>
    </row>
    <row r="7" spans="1:5" s="1318" customFormat="1" ht="12" customHeight="1" thickBot="1">
      <c r="A7" s="1316">
        <v>1</v>
      </c>
      <c r="B7" s="1317">
        <v>2</v>
      </c>
      <c r="C7" s="1200">
        <v>3</v>
      </c>
      <c r="D7" s="1200">
        <v>4</v>
      </c>
      <c r="E7" s="1201">
        <v>5</v>
      </c>
    </row>
    <row r="8" spans="1:5" s="1207" customFormat="1" ht="18.75" customHeight="1">
      <c r="A8" s="1319" t="s">
        <v>171</v>
      </c>
      <c r="B8" s="1320" t="s">
        <v>1024</v>
      </c>
      <c r="C8" s="1321">
        <v>65600</v>
      </c>
      <c r="D8" s="1321">
        <v>33969.59</v>
      </c>
      <c r="E8" s="1322">
        <f aca="true" t="shared" si="0" ref="E8:E56">D8/C8*100</f>
        <v>51.782911585365845</v>
      </c>
    </row>
    <row r="9" spans="1:5" s="1207" customFormat="1" ht="18.75" customHeight="1">
      <c r="A9" s="1203" t="s">
        <v>172</v>
      </c>
      <c r="B9" s="1204" t="s">
        <v>1025</v>
      </c>
      <c r="C9" s="1205">
        <f>SUM(C10:C15)</f>
        <v>140800</v>
      </c>
      <c r="D9" s="1205">
        <f>SUM(D10:D15)</f>
        <v>62132.74</v>
      </c>
      <c r="E9" s="1206">
        <f t="shared" si="0"/>
        <v>44.12836647727272</v>
      </c>
    </row>
    <row r="10" spans="1:5" ht="15" customHeight="1">
      <c r="A10" s="1208" t="s">
        <v>7</v>
      </c>
      <c r="B10" s="1209" t="s">
        <v>1026</v>
      </c>
      <c r="C10" s="1463">
        <v>54000</v>
      </c>
      <c r="D10" s="1463">
        <v>21480.25</v>
      </c>
      <c r="E10" s="1211">
        <f t="shared" si="0"/>
        <v>39.77824074074074</v>
      </c>
    </row>
    <row r="11" spans="1:5" ht="15" customHeight="1">
      <c r="A11" s="1208" t="s">
        <v>8</v>
      </c>
      <c r="B11" s="1209" t="s">
        <v>75</v>
      </c>
      <c r="C11" s="1463">
        <v>67500</v>
      </c>
      <c r="D11" s="1463">
        <v>30307</v>
      </c>
      <c r="E11" s="1211">
        <f t="shared" si="0"/>
        <v>44.89925925925926</v>
      </c>
    </row>
    <row r="12" spans="1:5" ht="15" customHeight="1" hidden="1">
      <c r="A12" s="1208" t="s">
        <v>10</v>
      </c>
      <c r="B12" s="1209" t="s">
        <v>1027</v>
      </c>
      <c r="C12" s="1323">
        <v>0</v>
      </c>
      <c r="D12" s="1323">
        <v>0</v>
      </c>
      <c r="E12" s="1211" t="e">
        <f t="shared" si="0"/>
        <v>#DIV/0!</v>
      </c>
    </row>
    <row r="13" spans="1:5" ht="15" customHeight="1">
      <c r="A13" s="1208" t="s">
        <v>10</v>
      </c>
      <c r="B13" s="1209" t="s">
        <v>1028</v>
      </c>
      <c r="C13" s="1323">
        <v>8200</v>
      </c>
      <c r="D13" s="1323">
        <v>5754.11</v>
      </c>
      <c r="E13" s="1211">
        <f t="shared" si="0"/>
        <v>70.17207317073171</v>
      </c>
    </row>
    <row r="14" spans="1:5" ht="15" customHeight="1">
      <c r="A14" s="1208" t="s">
        <v>17</v>
      </c>
      <c r="B14" s="1209" t="s">
        <v>3</v>
      </c>
      <c r="C14" s="1323">
        <v>7600</v>
      </c>
      <c r="D14" s="1323">
        <v>3493.49</v>
      </c>
      <c r="E14" s="1211">
        <f t="shared" si="0"/>
        <v>45.96697368421052</v>
      </c>
    </row>
    <row r="15" spans="1:5" ht="15" customHeight="1">
      <c r="A15" s="1215" t="s">
        <v>37</v>
      </c>
      <c r="B15" s="1212" t="s">
        <v>1031</v>
      </c>
      <c r="C15" s="1324">
        <v>3500</v>
      </c>
      <c r="D15" s="1324">
        <v>1097.89</v>
      </c>
      <c r="E15" s="1216">
        <f t="shared" si="0"/>
        <v>31.368285714285715</v>
      </c>
    </row>
    <row r="16" spans="1:5" s="1207" customFormat="1" ht="18.75" customHeight="1">
      <c r="A16" s="1203" t="s">
        <v>249</v>
      </c>
      <c r="B16" s="1204" t="s">
        <v>1032</v>
      </c>
      <c r="C16" s="1325">
        <f>SUM(C17:C19)</f>
        <v>133000</v>
      </c>
      <c r="D16" s="1325">
        <f>SUM(D17:D19)</f>
        <v>70245.32</v>
      </c>
      <c r="E16" s="1206">
        <f t="shared" si="0"/>
        <v>52.81603007518797</v>
      </c>
    </row>
    <row r="17" spans="1:5" ht="15" customHeight="1">
      <c r="A17" s="1208" t="s">
        <v>1033</v>
      </c>
      <c r="B17" s="1209" t="s">
        <v>1034</v>
      </c>
      <c r="C17" s="1323">
        <v>33000</v>
      </c>
      <c r="D17" s="1323">
        <v>15079.66</v>
      </c>
      <c r="E17" s="1211">
        <f t="shared" si="0"/>
        <v>45.6959393939394</v>
      </c>
    </row>
    <row r="18" spans="1:5" ht="15" customHeight="1">
      <c r="A18" s="1208" t="s">
        <v>1035</v>
      </c>
      <c r="B18" s="1209" t="s">
        <v>1036</v>
      </c>
      <c r="C18" s="1323">
        <v>80000</v>
      </c>
      <c r="D18" s="1323">
        <v>46187.7</v>
      </c>
      <c r="E18" s="1211">
        <f t="shared" si="0"/>
        <v>57.734624999999994</v>
      </c>
    </row>
    <row r="19" spans="1:5" ht="15" customHeight="1">
      <c r="A19" s="1215" t="s">
        <v>1037</v>
      </c>
      <c r="B19" s="1212" t="s">
        <v>1038</v>
      </c>
      <c r="C19" s="1326">
        <v>20000</v>
      </c>
      <c r="D19" s="1324">
        <v>8977.96</v>
      </c>
      <c r="E19" s="1216">
        <f t="shared" si="0"/>
        <v>44.889799999999994</v>
      </c>
    </row>
    <row r="20" spans="1:5" s="1207" customFormat="1" ht="18.75" customHeight="1">
      <c r="A20" s="1203" t="s">
        <v>256</v>
      </c>
      <c r="B20" s="1204" t="s">
        <v>1039</v>
      </c>
      <c r="C20" s="1325">
        <f>SUM(C21:C31)</f>
        <v>358850</v>
      </c>
      <c r="D20" s="1325">
        <f>SUM(D21:D31)</f>
        <v>169933.21000000002</v>
      </c>
      <c r="E20" s="1206">
        <f t="shared" si="0"/>
        <v>47.35494217639683</v>
      </c>
    </row>
    <row r="21" spans="1:5" ht="15" customHeight="1">
      <c r="A21" s="1208" t="s">
        <v>1040</v>
      </c>
      <c r="B21" s="1209" t="s">
        <v>1041</v>
      </c>
      <c r="C21" s="1323">
        <v>2300</v>
      </c>
      <c r="D21" s="1323">
        <v>1932.69</v>
      </c>
      <c r="E21" s="1211">
        <f t="shared" si="0"/>
        <v>84.03</v>
      </c>
    </row>
    <row r="22" spans="1:5" ht="15" customHeight="1">
      <c r="A22" s="1208" t="s">
        <v>1042</v>
      </c>
      <c r="B22" s="1209" t="s">
        <v>1043</v>
      </c>
      <c r="C22" s="1323">
        <v>30000</v>
      </c>
      <c r="D22" s="1323">
        <v>14175.51</v>
      </c>
      <c r="E22" s="1211">
        <f t="shared" si="0"/>
        <v>47.2517</v>
      </c>
    </row>
    <row r="23" spans="1:5" ht="15" customHeight="1">
      <c r="A23" s="1208" t="s">
        <v>1044</v>
      </c>
      <c r="B23" s="1209" t="s">
        <v>714</v>
      </c>
      <c r="C23" s="1323">
        <v>152000</v>
      </c>
      <c r="D23" s="1323">
        <v>70392.24</v>
      </c>
      <c r="E23" s="1211">
        <f t="shared" si="0"/>
        <v>46.31068421052632</v>
      </c>
    </row>
    <row r="24" spans="1:5" ht="15" customHeight="1">
      <c r="A24" s="1208" t="s">
        <v>1058</v>
      </c>
      <c r="B24" s="1209" t="s">
        <v>1059</v>
      </c>
      <c r="C24" s="1323">
        <v>12000</v>
      </c>
      <c r="D24" s="1323">
        <v>4082.83</v>
      </c>
      <c r="E24" s="1211">
        <f t="shared" si="0"/>
        <v>34.023583333333335</v>
      </c>
    </row>
    <row r="25" spans="1:5" ht="17.25" customHeight="1">
      <c r="A25" s="1208" t="s">
        <v>1060</v>
      </c>
      <c r="B25" s="1209" t="s">
        <v>1101</v>
      </c>
      <c r="C25" s="1323">
        <v>19500</v>
      </c>
      <c r="D25" s="1323">
        <v>9162.27</v>
      </c>
      <c r="E25" s="1211">
        <f t="shared" si="0"/>
        <v>46.986</v>
      </c>
    </row>
    <row r="26" spans="1:5" ht="15" customHeight="1" hidden="1">
      <c r="A26" s="1208" t="s">
        <v>1102</v>
      </c>
      <c r="B26" s="1209" t="s">
        <v>241</v>
      </c>
      <c r="C26" s="1323"/>
      <c r="D26" s="1323"/>
      <c r="E26" s="1211" t="e">
        <f t="shared" si="0"/>
        <v>#DIV/0!</v>
      </c>
    </row>
    <row r="27" spans="1:5" ht="15" customHeight="1">
      <c r="A27" s="1208" t="s">
        <v>1102</v>
      </c>
      <c r="B27" s="1209" t="s">
        <v>556</v>
      </c>
      <c r="C27" s="1323">
        <v>59560</v>
      </c>
      <c r="D27" s="1323">
        <v>31870</v>
      </c>
      <c r="E27" s="1211">
        <f t="shared" si="0"/>
        <v>53.50906648757555</v>
      </c>
    </row>
    <row r="28" spans="1:5" ht="15" customHeight="1">
      <c r="A28" s="1208" t="s">
        <v>1103</v>
      </c>
      <c r="B28" s="1209" t="s">
        <v>1099</v>
      </c>
      <c r="C28" s="1323">
        <v>6300</v>
      </c>
      <c r="D28" s="1323">
        <v>4294</v>
      </c>
      <c r="E28" s="1211">
        <f t="shared" si="0"/>
        <v>68.15873015873017</v>
      </c>
    </row>
    <row r="29" spans="1:5" ht="15" customHeight="1">
      <c r="A29" s="1208" t="s">
        <v>1104</v>
      </c>
      <c r="B29" s="1209" t="s">
        <v>43</v>
      </c>
      <c r="C29" s="1323">
        <v>43000</v>
      </c>
      <c r="D29" s="1323">
        <v>22200</v>
      </c>
      <c r="E29" s="1211">
        <f t="shared" si="0"/>
        <v>51.627906976744185</v>
      </c>
    </row>
    <row r="30" spans="1:5" ht="15" customHeight="1">
      <c r="A30" s="1208" t="s">
        <v>1105</v>
      </c>
      <c r="B30" s="1209" t="s">
        <v>1100</v>
      </c>
      <c r="C30" s="1323">
        <v>12190</v>
      </c>
      <c r="D30" s="1323">
        <v>0</v>
      </c>
      <c r="E30" s="1211">
        <f t="shared" si="0"/>
        <v>0</v>
      </c>
    </row>
    <row r="31" spans="1:5" ht="15" customHeight="1">
      <c r="A31" s="1208" t="s">
        <v>1251</v>
      </c>
      <c r="B31" s="1212" t="s">
        <v>871</v>
      </c>
      <c r="C31" s="1324">
        <v>22000</v>
      </c>
      <c r="D31" s="1324">
        <v>11823.67</v>
      </c>
      <c r="E31" s="1216">
        <f t="shared" si="0"/>
        <v>53.74395454545454</v>
      </c>
    </row>
    <row r="32" spans="1:5" s="1207" customFormat="1" ht="18.75" customHeight="1">
      <c r="A32" s="1203" t="s">
        <v>257</v>
      </c>
      <c r="B32" s="1204" t="s">
        <v>1106</v>
      </c>
      <c r="C32" s="1325">
        <f>SUM(C33,C34,C35)</f>
        <v>705000</v>
      </c>
      <c r="D32" s="1325">
        <f>SUM(D33,D34,D35)</f>
        <v>354416.18</v>
      </c>
      <c r="E32" s="1206">
        <f t="shared" si="0"/>
        <v>50.271798581560276</v>
      </c>
    </row>
    <row r="33" spans="1:5" ht="15" customHeight="1">
      <c r="A33" s="1215" t="s">
        <v>1107</v>
      </c>
      <c r="B33" s="1212" t="s">
        <v>872</v>
      </c>
      <c r="C33" s="1324">
        <v>553000</v>
      </c>
      <c r="D33" s="1324">
        <v>293093.18</v>
      </c>
      <c r="E33" s="1216">
        <f t="shared" si="0"/>
        <v>53.00057504520795</v>
      </c>
    </row>
    <row r="34" spans="1:5" ht="15" customHeight="1" hidden="1">
      <c r="A34" s="1215" t="s">
        <v>1108</v>
      </c>
      <c r="B34" s="1212" t="s">
        <v>1078</v>
      </c>
      <c r="C34" s="1324">
        <v>0</v>
      </c>
      <c r="D34" s="1324">
        <v>0</v>
      </c>
      <c r="E34" s="1216" t="e">
        <f t="shared" si="0"/>
        <v>#DIV/0!</v>
      </c>
    </row>
    <row r="35" spans="1:5" ht="15" customHeight="1">
      <c r="A35" s="1215" t="s">
        <v>1108</v>
      </c>
      <c r="B35" s="1212" t="s">
        <v>573</v>
      </c>
      <c r="C35" s="1324">
        <v>152000</v>
      </c>
      <c r="D35" s="1324">
        <v>61323</v>
      </c>
      <c r="E35" s="1216">
        <f t="shared" si="0"/>
        <v>40.34407894736842</v>
      </c>
    </row>
    <row r="36" spans="1:5" ht="18.75" customHeight="1">
      <c r="A36" s="1217" t="s">
        <v>258</v>
      </c>
      <c r="B36" s="1218" t="s">
        <v>1109</v>
      </c>
      <c r="C36" s="1327">
        <v>138000</v>
      </c>
      <c r="D36" s="1327">
        <v>67781.75</v>
      </c>
      <c r="E36" s="1220">
        <f t="shared" si="0"/>
        <v>49.11721014492754</v>
      </c>
    </row>
    <row r="37" spans="1:5" ht="25.5" customHeight="1">
      <c r="A37" s="1217" t="s">
        <v>330</v>
      </c>
      <c r="B37" s="1218" t="s">
        <v>1110</v>
      </c>
      <c r="C37" s="1327">
        <v>25000</v>
      </c>
      <c r="D37" s="1327">
        <v>11437.82</v>
      </c>
      <c r="E37" s="1220">
        <f t="shared" si="0"/>
        <v>45.75128</v>
      </c>
    </row>
    <row r="38" spans="1:5" s="1207" customFormat="1" ht="18.75" customHeight="1">
      <c r="A38" s="1203" t="s">
        <v>331</v>
      </c>
      <c r="B38" s="1204" t="s">
        <v>1111</v>
      </c>
      <c r="C38" s="1325">
        <f>SUM(C39,C40)</f>
        <v>12617</v>
      </c>
      <c r="D38" s="1325">
        <f>SUM(D39,D40)</f>
        <v>6035</v>
      </c>
      <c r="E38" s="1206">
        <f t="shared" si="0"/>
        <v>47.83228976777364</v>
      </c>
    </row>
    <row r="39" spans="1:5" ht="15" customHeight="1">
      <c r="A39" s="1208" t="s">
        <v>1112</v>
      </c>
      <c r="B39" s="1209" t="s">
        <v>1113</v>
      </c>
      <c r="C39" s="1323">
        <v>12140</v>
      </c>
      <c r="D39" s="1323">
        <v>5957</v>
      </c>
      <c r="E39" s="1211">
        <f t="shared" si="0"/>
        <v>49.06919275123558</v>
      </c>
    </row>
    <row r="40" spans="1:5" ht="15" customHeight="1">
      <c r="A40" s="1215" t="s">
        <v>1114</v>
      </c>
      <c r="B40" s="1212" t="s">
        <v>1115</v>
      </c>
      <c r="C40" s="1324">
        <v>477</v>
      </c>
      <c r="D40" s="1324">
        <v>78</v>
      </c>
      <c r="E40" s="1216">
        <f t="shared" si="0"/>
        <v>16.352201257861633</v>
      </c>
    </row>
    <row r="41" spans="1:5" s="1207" customFormat="1" ht="18.75" customHeight="1">
      <c r="A41" s="1217" t="s">
        <v>259</v>
      </c>
      <c r="B41" s="1218" t="s">
        <v>1116</v>
      </c>
      <c r="C41" s="1327">
        <v>2900</v>
      </c>
      <c r="D41" s="1327">
        <v>2058.29</v>
      </c>
      <c r="E41" s="1220">
        <f t="shared" si="0"/>
        <v>70.97551724137931</v>
      </c>
    </row>
    <row r="42" spans="1:5" s="1207" customFormat="1" ht="18.75" customHeight="1">
      <c r="A42" s="1217" t="s">
        <v>261</v>
      </c>
      <c r="B42" s="1218" t="s">
        <v>1201</v>
      </c>
      <c r="C42" s="1327">
        <v>173</v>
      </c>
      <c r="D42" s="1327">
        <v>173</v>
      </c>
      <c r="E42" s="1220">
        <f t="shared" si="0"/>
        <v>100</v>
      </c>
    </row>
    <row r="43" spans="1:5" s="1207" customFormat="1" ht="21.75" customHeight="1">
      <c r="A43" s="1217" t="s">
        <v>332</v>
      </c>
      <c r="B43" s="1218" t="s">
        <v>1202</v>
      </c>
      <c r="C43" s="1327">
        <v>12900</v>
      </c>
      <c r="D43" s="1327">
        <v>5433</v>
      </c>
      <c r="E43" s="1220">
        <f t="shared" si="0"/>
        <v>42.116279069767444</v>
      </c>
    </row>
    <row r="44" spans="1:5" s="1207" customFormat="1" ht="21.75" customHeight="1">
      <c r="A44" s="1217" t="s">
        <v>262</v>
      </c>
      <c r="B44" s="1320" t="s">
        <v>1263</v>
      </c>
      <c r="C44" s="1327">
        <v>7000</v>
      </c>
      <c r="D44" s="1327">
        <v>3572.41</v>
      </c>
      <c r="E44" s="1220">
        <f t="shared" si="0"/>
        <v>51.03442857142857</v>
      </c>
    </row>
    <row r="45" spans="1:5" s="1207" customFormat="1" ht="21.75" customHeight="1">
      <c r="A45" s="1217" t="s">
        <v>263</v>
      </c>
      <c r="B45" s="1320" t="s">
        <v>565</v>
      </c>
      <c r="C45" s="1327">
        <v>1500</v>
      </c>
      <c r="D45" s="1327">
        <v>8.8</v>
      </c>
      <c r="E45" s="1220">
        <f t="shared" si="0"/>
        <v>0.5866666666666667</v>
      </c>
    </row>
    <row r="46" spans="1:5" s="1207" customFormat="1" ht="18.75" customHeight="1">
      <c r="A46" s="1217" t="s">
        <v>333</v>
      </c>
      <c r="B46" s="1218" t="s">
        <v>1203</v>
      </c>
      <c r="C46" s="1327">
        <v>1603340</v>
      </c>
      <c r="D46" s="1327">
        <v>787197.11</v>
      </c>
      <c r="E46" s="1220">
        <f t="shared" si="0"/>
        <v>49.09732870133596</v>
      </c>
    </row>
    <row r="47" spans="1:5" s="1207" customFormat="1" ht="18.75" customHeight="1">
      <c r="A47" s="1203" t="s">
        <v>264</v>
      </c>
      <c r="B47" s="1204" t="s">
        <v>1204</v>
      </c>
      <c r="C47" s="1325">
        <f>SUM(C48:C50)</f>
        <v>1343240</v>
      </c>
      <c r="D47" s="1325">
        <f>SUM(D48:D50)</f>
        <v>678688.91</v>
      </c>
      <c r="E47" s="1206">
        <f t="shared" si="0"/>
        <v>50.52625815193116</v>
      </c>
    </row>
    <row r="48" spans="1:5" ht="15" customHeight="1">
      <c r="A48" s="1208" t="s">
        <v>239</v>
      </c>
      <c r="B48" s="1209" t="s">
        <v>1205</v>
      </c>
      <c r="C48" s="1323">
        <v>905790</v>
      </c>
      <c r="D48" s="1323">
        <v>452628.77</v>
      </c>
      <c r="E48" s="1211">
        <f t="shared" si="0"/>
        <v>49.970607977566544</v>
      </c>
    </row>
    <row r="49" spans="1:5" ht="27" customHeight="1">
      <c r="A49" s="1208" t="s">
        <v>240</v>
      </c>
      <c r="B49" s="1209" t="s">
        <v>638</v>
      </c>
      <c r="C49" s="1323">
        <v>104450</v>
      </c>
      <c r="D49" s="1323">
        <v>52804.06</v>
      </c>
      <c r="E49" s="1211">
        <f t="shared" si="0"/>
        <v>50.55438966012446</v>
      </c>
    </row>
    <row r="50" spans="1:5" ht="15" customHeight="1">
      <c r="A50" s="1215" t="s">
        <v>1412</v>
      </c>
      <c r="B50" s="1212" t="s">
        <v>1206</v>
      </c>
      <c r="C50" s="1324">
        <v>333000</v>
      </c>
      <c r="D50" s="1324">
        <v>173256.08</v>
      </c>
      <c r="E50" s="1216">
        <f t="shared" si="0"/>
        <v>52.02885285285285</v>
      </c>
    </row>
    <row r="51" spans="1:5" s="1207" customFormat="1" ht="18.75" customHeight="1">
      <c r="A51" s="1319" t="s">
        <v>265</v>
      </c>
      <c r="B51" s="1320" t="s">
        <v>1207</v>
      </c>
      <c r="C51" s="1328">
        <v>200</v>
      </c>
      <c r="D51" s="1328">
        <v>1.16</v>
      </c>
      <c r="E51" s="1220">
        <f t="shared" si="0"/>
        <v>0.58</v>
      </c>
    </row>
    <row r="52" spans="1:5" s="1207" customFormat="1" ht="18.75" customHeight="1">
      <c r="A52" s="1203" t="s">
        <v>266</v>
      </c>
      <c r="B52" s="1204" t="s">
        <v>1208</v>
      </c>
      <c r="C52" s="1325">
        <f>SUM(C53,C54)</f>
        <v>69900</v>
      </c>
      <c r="D52" s="1325">
        <f>SUM(D53,D54)</f>
        <v>42031.32</v>
      </c>
      <c r="E52" s="1237">
        <f t="shared" si="0"/>
        <v>60.13064377682403</v>
      </c>
    </row>
    <row r="53" spans="1:5" ht="15" customHeight="1">
      <c r="A53" s="1208" t="s">
        <v>1183</v>
      </c>
      <c r="B53" s="1209" t="s">
        <v>1209</v>
      </c>
      <c r="C53" s="1323">
        <v>28700</v>
      </c>
      <c r="D53" s="1323">
        <v>0</v>
      </c>
      <c r="E53" s="1211">
        <f t="shared" si="0"/>
        <v>0</v>
      </c>
    </row>
    <row r="54" spans="1:5" ht="15" customHeight="1">
      <c r="A54" s="1208" t="s">
        <v>1184</v>
      </c>
      <c r="B54" s="1212" t="s">
        <v>3</v>
      </c>
      <c r="C54" s="1324">
        <v>41200</v>
      </c>
      <c r="D54" s="1324">
        <v>42031.32</v>
      </c>
      <c r="E54" s="1211">
        <f t="shared" si="0"/>
        <v>102.01776699029126</v>
      </c>
    </row>
    <row r="55" spans="1:5" s="1207" customFormat="1" ht="18.75" customHeight="1">
      <c r="A55" s="1217" t="s">
        <v>267</v>
      </c>
      <c r="B55" s="1218" t="s">
        <v>1210</v>
      </c>
      <c r="C55" s="1327">
        <f>SUM(C47+C51+C52)</f>
        <v>1413340</v>
      </c>
      <c r="D55" s="1327">
        <f>SUM(D47+D51+D52)</f>
        <v>720721.39</v>
      </c>
      <c r="E55" s="1220">
        <f t="shared" si="0"/>
        <v>50.994197433030976</v>
      </c>
    </row>
    <row r="56" spans="1:5" s="1207" customFormat="1" ht="18.75" customHeight="1" hidden="1">
      <c r="A56" s="1203" t="s">
        <v>274</v>
      </c>
      <c r="B56" s="1204" t="s">
        <v>1264</v>
      </c>
      <c r="C56" s="1325">
        <v>0</v>
      </c>
      <c r="D56" s="1325">
        <v>0</v>
      </c>
      <c r="E56" s="1220" t="e">
        <f t="shared" si="0"/>
        <v>#DIV/0!</v>
      </c>
    </row>
    <row r="57" spans="1:5" s="1207" customFormat="1" ht="18.75" customHeight="1" thickBot="1">
      <c r="A57" s="1330" t="s">
        <v>274</v>
      </c>
      <c r="B57" s="1331" t="s">
        <v>1211</v>
      </c>
      <c r="C57" s="1332">
        <f>SUM(C55-C46+C56)</f>
        <v>-190000</v>
      </c>
      <c r="D57" s="1332">
        <f>SUM(D55-D46+D56)</f>
        <v>-66475.71999999997</v>
      </c>
      <c r="E57" s="1243" t="s">
        <v>144</v>
      </c>
    </row>
  </sheetData>
  <sheetProtection password="CF53" sheet="1" formatRows="0" insertColumns="0" insertRows="0" insertHyperlinks="0" deleteColumns="0" deleteRows="0" sort="0" autoFilter="0" pivotTables="0"/>
  <mergeCells count="2">
    <mergeCell ref="A3:E3"/>
    <mergeCell ref="D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147"/>
  <sheetViews>
    <sheetView view="pageBreakPreview" zoomScaleSheetLayoutView="100" zoomScalePageLayoutView="0" workbookViewId="0" topLeftCell="A1">
      <pane ySplit="8" topLeftCell="A10" activePane="bottomLeft" state="frozen"/>
      <selection pane="topLeft" activeCell="I244" sqref="I244"/>
      <selection pane="bottomLeft" activeCell="A51" sqref="A51:IV57"/>
    </sheetView>
  </sheetViews>
  <sheetFormatPr defaultColWidth="9.00390625" defaultRowHeight="12.75"/>
  <cols>
    <col min="1" max="1" width="3.625" style="14" customWidth="1"/>
    <col min="2" max="2" width="35.375" style="1" customWidth="1"/>
    <col min="3" max="3" width="13.625" style="1" customWidth="1"/>
    <col min="4" max="4" width="13.875" style="1" customWidth="1"/>
    <col min="5" max="5" width="8.375" style="2" customWidth="1"/>
    <col min="6" max="6" width="8.125" style="1" customWidth="1"/>
    <col min="7" max="7" width="14.00390625" style="1" hidden="1" customWidth="1"/>
    <col min="8" max="8" width="18.625" style="1" hidden="1" customWidth="1"/>
    <col min="9" max="9" width="13.125" style="1" hidden="1" customWidth="1"/>
    <col min="10" max="10" width="12.625" style="1" hidden="1" customWidth="1"/>
    <col min="11" max="16384" width="9.125" style="1" customWidth="1"/>
  </cols>
  <sheetData>
    <row r="1" spans="1:6" s="174" customFormat="1" ht="12.75">
      <c r="A1" s="173"/>
      <c r="D1" s="175"/>
      <c r="E1" s="1583" t="s">
        <v>18</v>
      </c>
      <c r="F1" s="1583"/>
    </row>
    <row r="2" spans="1:5" s="174" customFormat="1" ht="8.25" customHeight="1">
      <c r="A2" s="173"/>
      <c r="D2" s="176"/>
      <c r="E2" s="176"/>
    </row>
    <row r="3" spans="1:6" s="174" customFormat="1" ht="13.5" customHeight="1">
      <c r="A3" s="1587" t="s">
        <v>676</v>
      </c>
      <c r="B3" s="1587"/>
      <c r="C3" s="1587"/>
      <c r="D3" s="1587"/>
      <c r="E3" s="1587"/>
      <c r="F3" s="1587"/>
    </row>
    <row r="4" spans="1:5" s="174" customFormat="1" ht="2.25" customHeight="1">
      <c r="A4" s="1584"/>
      <c r="B4" s="1584"/>
      <c r="C4" s="1584"/>
      <c r="D4" s="1584"/>
      <c r="E4" s="1584"/>
    </row>
    <row r="5" spans="1:6" s="174" customFormat="1" ht="13.5" thickBot="1">
      <c r="A5" s="177"/>
      <c r="B5" s="177"/>
      <c r="C5" s="177"/>
      <c r="D5" s="177"/>
      <c r="E5" s="178"/>
      <c r="F5" s="178" t="s">
        <v>1351</v>
      </c>
    </row>
    <row r="6" spans="1:6" s="174" customFormat="1" ht="15.75" customHeight="1">
      <c r="A6" s="1588" t="s">
        <v>168</v>
      </c>
      <c r="B6" s="1590" t="s">
        <v>98</v>
      </c>
      <c r="C6" s="1585" t="s">
        <v>227</v>
      </c>
      <c r="D6" s="1586"/>
      <c r="E6" s="1592" t="s">
        <v>1378</v>
      </c>
      <c r="F6" s="1594" t="s">
        <v>92</v>
      </c>
    </row>
    <row r="7" spans="1:6" s="174" customFormat="1" ht="23.25" customHeight="1">
      <c r="A7" s="1589"/>
      <c r="B7" s="1591"/>
      <c r="C7" s="179" t="s">
        <v>1354</v>
      </c>
      <c r="D7" s="180" t="s">
        <v>1355</v>
      </c>
      <c r="E7" s="1593"/>
      <c r="F7" s="1595"/>
    </row>
    <row r="8" spans="1:6" s="185" customFormat="1" ht="12" customHeight="1" thickBot="1">
      <c r="A8" s="181">
        <v>1</v>
      </c>
      <c r="B8" s="182">
        <v>2</v>
      </c>
      <c r="C8" s="182">
        <v>3</v>
      </c>
      <c r="D8" s="182">
        <v>4</v>
      </c>
      <c r="E8" s="183">
        <v>5</v>
      </c>
      <c r="F8" s="184">
        <v>6</v>
      </c>
    </row>
    <row r="9" spans="1:6" s="174" customFormat="1" ht="18" customHeight="1">
      <c r="A9" s="186" t="s">
        <v>169</v>
      </c>
      <c r="B9" s="187" t="s">
        <v>170</v>
      </c>
      <c r="C9" s="188">
        <f>SUM(C10,C15)</f>
        <v>240704574.1</v>
      </c>
      <c r="D9" s="188">
        <f>SUM(D10,D15)</f>
        <v>103404097.16</v>
      </c>
      <c r="E9" s="189">
        <f>D9*100/C9</f>
        <v>42.95892487570306</v>
      </c>
      <c r="F9" s="190">
        <f>D9/D$9*100</f>
        <v>100</v>
      </c>
    </row>
    <row r="10" spans="1:6" s="460" customFormat="1" ht="18" customHeight="1">
      <c r="A10" s="457" t="s">
        <v>171</v>
      </c>
      <c r="B10" s="461" t="s">
        <v>1</v>
      </c>
      <c r="C10" s="458">
        <f>SUM(C11,C12,C13,C14)</f>
        <v>186276880.1</v>
      </c>
      <c r="D10" s="458">
        <f>SUM(D11,D12,D13,D14)</f>
        <v>88037902.78</v>
      </c>
      <c r="E10" s="462">
        <f aca="true" t="shared" si="0" ref="E10:E17">D10*100/C10</f>
        <v>47.261851676245676</v>
      </c>
      <c r="F10" s="459">
        <f aca="true" t="shared" si="1" ref="F10:F17">D10/D$9*100</f>
        <v>85.13966583333399</v>
      </c>
    </row>
    <row r="11" spans="1:6" s="174" customFormat="1" ht="31.5" customHeight="1">
      <c r="A11" s="453" t="s">
        <v>4</v>
      </c>
      <c r="B11" s="1524" t="s">
        <v>620</v>
      </c>
      <c r="C11" s="1525">
        <f>6DOCHODY!E10+6DOCHODY!E84+6DOCHODY!E85+6DOCHODY!E89+6DOCHODY!E104+6DOCHODY!E135+6DOCHODY!E137+6DOCHODY!E150+6DOCHODY!E170+6DOCHODY!E201+6DOCHODY!E210+6DOCHODY!E212+6DOCHODY!E218+6DOCHODY!E244+6DOCHODY!E245+6DOCHODY!E246+6DOCHODY!E265+6DOCHODY!E266+6DOCHODY!E277+6DOCHODY!E289+6DOCHODY!E294+6DOCHODY!E295+6DOCHODY!E299+6DOCHODY!E300+6DOCHODY!E305+6DOCHODY!E310+6DOCHODY!E311+6DOCHODY!E317+6DOCHODY!E319+6DOCHODY!E322+6DOCHODY!E323+6DOCHODY!E324+6DOCHODY!E331+6DOCHODY!E349+6DOCHODY!E350+6DOCHODY!E424+6DOCHODY!E453+6DOCHODY!E457+6DOCHODY!E463+6DOCHODY!E466+6DOCHODY!E472+6DOCHODY!E479+6DOCHODY!E486+6DOCHODY!E503+6DOCHODY!E527+6DOCHODY!E534+6DOCHODY!E543+6DOCHODY!E546+6DOCHODY!E553+6DOCHODY!E556+6DOCHODY!E576+6DOCHODY!E195+6DOCHODY!E494+6DOCHODY!E199+6DOCHODY!E498+6DOCHODY!E500+6DOCHODY!E507+6DOCHODY!E520+6DOCHODY!E549+6DOCHODY!E562+6DOCHODY!E572+6DOCHODY!E574+6DOCHODY!E483+6DOCHODY!E480+6DOCHODY!E583+6DOCHODY!E115+6DOCHODY!E139+6DOCHODY!E283+6DOCHODY!E538</f>
        <v>114014678.1</v>
      </c>
      <c r="D11" s="1525">
        <f>6DOCHODY!F10+6DOCHODY!F84+6DOCHODY!F85+6DOCHODY!F89+6DOCHODY!F104+6DOCHODY!F135+6DOCHODY!F137+6DOCHODY!F150+6DOCHODY!F170+6DOCHODY!F201+6DOCHODY!F210+6DOCHODY!F212+6DOCHODY!F218+6DOCHODY!F244+6DOCHODY!F245+6DOCHODY!F246+6DOCHODY!F265+6DOCHODY!F266+6DOCHODY!F277+6DOCHODY!F289+6DOCHODY!F294+6DOCHODY!F295+6DOCHODY!F299+6DOCHODY!F300+6DOCHODY!F305+6DOCHODY!F310+6DOCHODY!F311+6DOCHODY!F317+6DOCHODY!F319+6DOCHODY!F322+6DOCHODY!F323+6DOCHODY!F324+6DOCHODY!F331+6DOCHODY!F349+6DOCHODY!F350+6DOCHODY!F424+6DOCHODY!F453+6DOCHODY!F457+6DOCHODY!F463+6DOCHODY!F466+6DOCHODY!F472+6DOCHODY!F479+6DOCHODY!F486+6DOCHODY!F503+6DOCHODY!F527+6DOCHODY!F534+6DOCHODY!F543+6DOCHODY!F546+6DOCHODY!F553+6DOCHODY!F556+6DOCHODY!F576+6DOCHODY!F195+6DOCHODY!F494+6DOCHODY!F199+6DOCHODY!F498+6DOCHODY!F500+6DOCHODY!F507+6DOCHODY!F520+6DOCHODY!F549+6DOCHODY!F562+6DOCHODY!F572+6DOCHODY!F574+6DOCHODY!F483+6DOCHODY!F480+6DOCHODY!F583+6DOCHODY!F115+6DOCHODY!F139+6DOCHODY!F283+6DOCHODY!F538</f>
        <v>55313860.11</v>
      </c>
      <c r="E11" s="1526">
        <f t="shared" si="0"/>
        <v>48.51468340022441</v>
      </c>
      <c r="F11" s="1527">
        <f t="shared" si="1"/>
        <v>53.492909497010885</v>
      </c>
    </row>
    <row r="12" spans="1:6" s="174" customFormat="1" ht="21.75" customHeight="1">
      <c r="A12" s="453" t="s">
        <v>5</v>
      </c>
      <c r="B12" s="1528" t="s">
        <v>889</v>
      </c>
      <c r="C12" s="1525">
        <f>SUM(6DOCHODY!E124,6DOCHODY!E126,6DOCHODY!E143,6DOCHODY!E155,6DOCHODY!E338,6DOCHODY!E340,6DOCHODY!E342,6DOCHODY!E410,6DOCHODY!E515,6DOCHODY!E517,6DOCHODY!E539,6DOCHODY!E564,6DOCHODY!E566,6DOCHODY!E577,6DOCHODY!E579)</f>
        <v>362450</v>
      </c>
      <c r="D12" s="1525">
        <f>SUM(6DOCHODY!F124,6DOCHODY!F126,6DOCHODY!F143,6DOCHODY!F155,6DOCHODY!F338,6DOCHODY!F340,6DOCHODY!F342,6DOCHODY!F410,6DOCHODY!F515,6DOCHODY!F517,6DOCHODY!F539,6DOCHODY!F564,6DOCHODY!F566,6DOCHODY!F577,6DOCHODY!F579)</f>
        <v>222344</v>
      </c>
      <c r="E12" s="1526">
        <f t="shared" si="0"/>
        <v>61.34473720513174</v>
      </c>
      <c r="F12" s="1527">
        <f t="shared" si="1"/>
        <v>0.21502436180643889</v>
      </c>
    </row>
    <row r="13" spans="1:6" s="174" customFormat="1" ht="18" customHeight="1">
      <c r="A13" s="453" t="s">
        <v>6</v>
      </c>
      <c r="B13" s="1528" t="s">
        <v>2</v>
      </c>
      <c r="C13" s="1525">
        <f>SUM(6DOCHODY!E54,6DOCHODY!E128,6DOCHODY!E129,6DOCHODY!E156,6DOCHODY!E236,6DOCHODY!E247,6DOCHODY!E403)</f>
        <v>12150</v>
      </c>
      <c r="D13" s="1525">
        <f>SUM(6DOCHODY!F54,6DOCHODY!F128,6DOCHODY!F129,6DOCHODY!F156,6DOCHODY!F236,6DOCHODY!F247,6DOCHODY!F403)</f>
        <v>3041.93</v>
      </c>
      <c r="E13" s="1526">
        <f>D13*100/C13</f>
        <v>25.036460905349795</v>
      </c>
      <c r="F13" s="1527">
        <f>D13/D$9*100</f>
        <v>0.0029417886559109335</v>
      </c>
    </row>
    <row r="14" spans="1:6" s="174" customFormat="1" ht="18" customHeight="1">
      <c r="A14" s="453" t="s">
        <v>11</v>
      </c>
      <c r="B14" s="1528" t="s">
        <v>1164</v>
      </c>
      <c r="C14" s="1525">
        <f>C51-C15-C11-C12-C13</f>
        <v>71887602</v>
      </c>
      <c r="D14" s="1525">
        <f>D51-D15-D11-D12-D13</f>
        <v>32498656.740000002</v>
      </c>
      <c r="E14" s="1526">
        <f>D14*100/C14</f>
        <v>45.20759607477239</v>
      </c>
      <c r="F14" s="1527">
        <f>D14/D$9*100</f>
        <v>31.428790185860763</v>
      </c>
    </row>
    <row r="15" spans="1:6" s="460" customFormat="1" ht="17.25" customHeight="1">
      <c r="A15" s="457" t="s">
        <v>172</v>
      </c>
      <c r="B15" s="1529" t="s">
        <v>1491</v>
      </c>
      <c r="C15" s="1530">
        <f>SUM(C16:C19)</f>
        <v>54427694</v>
      </c>
      <c r="D15" s="1530">
        <f>SUM(D16:D19)</f>
        <v>15366194.38</v>
      </c>
      <c r="E15" s="1531">
        <f t="shared" si="0"/>
        <v>28.232308317159276</v>
      </c>
      <c r="F15" s="1532">
        <f t="shared" si="1"/>
        <v>14.860334166666014</v>
      </c>
    </row>
    <row r="16" spans="1:6" s="174" customFormat="1" ht="33" customHeight="1">
      <c r="A16" s="453" t="s">
        <v>7</v>
      </c>
      <c r="B16" s="1528" t="s">
        <v>313</v>
      </c>
      <c r="C16" s="1525">
        <f>SUM(6DOCHODY!E14,6DOCHODY!E32,6DOCHODY!E51,6DOCHODY!E80,6DOCHODY!E81,6DOCHODY!E109,6DOCHODY!E206,6DOCHODY!E353,6DOCHODY!E380,6DOCHODY!E438)</f>
        <v>41926997</v>
      </c>
      <c r="D16" s="1525">
        <f>SUM(6DOCHODY!F14,6DOCHODY!F32,6DOCHODY!F51,6DOCHODY!F80,6DOCHODY!F81,6DOCHODY!F109,6DOCHODY!F206,6DOCHODY!F353,6DOCHODY!F380,6DOCHODY!F438)</f>
        <v>10020100.47</v>
      </c>
      <c r="E16" s="1533">
        <f>D16*100/C16</f>
        <v>23.89892238168167</v>
      </c>
      <c r="F16" s="1527">
        <f>D16/D$9*100</f>
        <v>9.690235440570236</v>
      </c>
    </row>
    <row r="17" spans="1:6" s="174" customFormat="1" ht="18.75" customHeight="1">
      <c r="A17" s="453" t="s">
        <v>8</v>
      </c>
      <c r="B17" s="1528" t="s">
        <v>599</v>
      </c>
      <c r="C17" s="1525">
        <f>SUM(6DOCHODY!E65,6DOCHODY!E223,6DOCHODY!E248,6DOCHODY!E414,6DOCHODY!E447,6DOCHODY!E448,6DOCHODY!E450,6DOCHODY!E454,6DOCHODY!E467,6DOCHODY!E469,6DOCHODY!E484,6DOCHODY!E521,6DOCHODY!E584,6DOCHODY!E501)</f>
        <v>301450</v>
      </c>
      <c r="D17" s="1525">
        <f>SUM(6DOCHODY!F65,6DOCHODY!F223,6DOCHODY!F248,6DOCHODY!F414,6DOCHODY!F447,6DOCHODY!F448,6DOCHODY!F450,6DOCHODY!F454,6DOCHODY!F467,6DOCHODY!F469,6DOCHODY!F484,6DOCHODY!F521,6DOCHODY!F584,6DOCHODY!F501)</f>
        <v>33525</v>
      </c>
      <c r="E17" s="1533">
        <f t="shared" si="0"/>
        <v>11.121247304693979</v>
      </c>
      <c r="F17" s="1527">
        <f t="shared" si="1"/>
        <v>0.032421345885478646</v>
      </c>
    </row>
    <row r="18" spans="1:6" s="174" customFormat="1" ht="18" customHeight="1" hidden="1">
      <c r="A18" s="453" t="s">
        <v>10</v>
      </c>
      <c r="B18" s="1528" t="s">
        <v>212</v>
      </c>
      <c r="C18" s="1534">
        <f>SUM(6DOCHODY!E356,6DOCHODY!E361)</f>
        <v>0</v>
      </c>
      <c r="D18" s="1534">
        <f>SUM(6DOCHODY!F356,6DOCHODY!F361)</f>
        <v>0</v>
      </c>
      <c r="E18" s="1533" t="e">
        <f>D18*100/C18</f>
        <v>#DIV/0!</v>
      </c>
      <c r="F18" s="1527">
        <f>D18/D$9*100</f>
        <v>0</v>
      </c>
    </row>
    <row r="19" spans="1:6" s="174" customFormat="1" ht="33" customHeight="1">
      <c r="A19" s="453" t="s">
        <v>10</v>
      </c>
      <c r="B19" s="1528" t="s">
        <v>1377</v>
      </c>
      <c r="C19" s="1534">
        <f>SUM(6DOCHODY!E36,6DOCHODY!E37,6DOCHODY!E44,6DOCHODY!E46,6DOCHODY!E59,6DOCHODY!E61,6DOCHODY!E63,6DOCHODY!E90,6DOCHODY!E131,6DOCHODY!E145,6DOCHODY!E147,6DOCHODY!E148,6DOCHODY!E214,6DOCHODY!E221,6DOCHODY!E262,6DOCHODY!E325,6DOCHODY!E345,6DOCHODY!E359,6DOCHODY!E362,6DOCHODY!E383,6DOCHODY!E395,6DOCHODY!E397,6DOCHODY!E404,6DOCHODY!E411,6DOCHODY!E413,6DOCHODY!E429,6DOCHODY!E442,6DOCHODY!E444,6DOCHODY!E445,6DOCHODY!E464)+6DOCHODY!E70+6DOCHODY!E72+6DOCHODY!E219+6DOCHODY!E510+6DOCHODY!E568</f>
        <v>12199247</v>
      </c>
      <c r="D19" s="1534">
        <f>SUM(6DOCHODY!F36,6DOCHODY!F37,6DOCHODY!F44,6DOCHODY!F46,6DOCHODY!F59,6DOCHODY!F61,6DOCHODY!F63,6DOCHODY!F90,6DOCHODY!F131,6DOCHODY!F145,6DOCHODY!F147,6DOCHODY!F148,6DOCHODY!F214,6DOCHODY!F221,6DOCHODY!F262,6DOCHODY!F325,6DOCHODY!F345,6DOCHODY!F359,6DOCHODY!F362,6DOCHODY!F383,6DOCHODY!F395,6DOCHODY!F397,6DOCHODY!F404,6DOCHODY!F411,6DOCHODY!F413,6DOCHODY!F429,6DOCHODY!F442,6DOCHODY!F444,6DOCHODY!F445,6DOCHODY!F464)+6DOCHODY!F70+6DOCHODY!F72+6DOCHODY!F219+6DOCHODY!F510+6DOCHODY!F568</f>
        <v>5312568.91</v>
      </c>
      <c r="E19" s="1533">
        <f>D19*100/C19</f>
        <v>43.548334663606695</v>
      </c>
      <c r="F19" s="1527">
        <f>D19/D$9*100</f>
        <v>5.137677380210299</v>
      </c>
    </row>
    <row r="20" spans="1:6" s="174" customFormat="1" ht="18" customHeight="1">
      <c r="A20" s="1362" t="s">
        <v>173</v>
      </c>
      <c r="B20" s="1363" t="s">
        <v>174</v>
      </c>
      <c r="C20" s="388">
        <f>SUM(C21,C31)</f>
        <v>249647820.1</v>
      </c>
      <c r="D20" s="388">
        <f>SUM(D21,D31)</f>
        <v>107299392.18</v>
      </c>
      <c r="E20" s="1364">
        <f aca="true" t="shared" si="2" ref="E20:E31">D20*100/C20</f>
        <v>42.980304068755615</v>
      </c>
      <c r="F20" s="1365">
        <f>D20/D$20*100</f>
        <v>100</v>
      </c>
    </row>
    <row r="21" spans="1:6" s="460" customFormat="1" ht="18" customHeight="1">
      <c r="A21" s="457" t="s">
        <v>171</v>
      </c>
      <c r="B21" s="1366" t="s">
        <v>185</v>
      </c>
      <c r="C21" s="458">
        <f>SUM(C22,C27,C28,C29,C30)</f>
        <v>194734118.1</v>
      </c>
      <c r="D21" s="458">
        <f>SUM(D22,D27,D28,D29,D30)</f>
        <v>88459069.07000001</v>
      </c>
      <c r="E21" s="1367">
        <f t="shared" si="2"/>
        <v>45.425562779181014</v>
      </c>
      <c r="F21" s="459">
        <f aca="true" t="shared" si="3" ref="F21:F37">D21/D$20*100</f>
        <v>82.44135150514698</v>
      </c>
    </row>
    <row r="22" spans="1:6" s="174" customFormat="1" ht="27" customHeight="1">
      <c r="A22" s="453" t="s">
        <v>4</v>
      </c>
      <c r="B22" s="454" t="s">
        <v>1142</v>
      </c>
      <c r="C22" s="452">
        <f>SUM(9W!D903)</f>
        <v>148853932.1</v>
      </c>
      <c r="D22" s="452">
        <f>SUM(9W!E903)</f>
        <v>69051464.86</v>
      </c>
      <c r="E22" s="1368">
        <f t="shared" si="2"/>
        <v>46.3887408856699</v>
      </c>
      <c r="F22" s="1369">
        <f>D22/D$20*100</f>
        <v>64.35401306296569</v>
      </c>
    </row>
    <row r="23" spans="1:6" s="174" customFormat="1" ht="18" customHeight="1">
      <c r="A23" s="453"/>
      <c r="B23" s="1370" t="s">
        <v>26</v>
      </c>
      <c r="C23" s="683">
        <f>SUM(9W!D904)</f>
        <v>68378364.11</v>
      </c>
      <c r="D23" s="683">
        <f>SUM(9W!E904)</f>
        <v>28779351.569999997</v>
      </c>
      <c r="E23" s="1368">
        <f t="shared" si="2"/>
        <v>42.08838854890235</v>
      </c>
      <c r="F23" s="1369">
        <f>D23/D$20*100</f>
        <v>26.82154202860834</v>
      </c>
    </row>
    <row r="24" spans="1:6" s="1392" customFormat="1" ht="16.5" customHeight="1">
      <c r="A24" s="1387"/>
      <c r="B24" s="1388" t="s">
        <v>876</v>
      </c>
      <c r="C24" s="1389">
        <v>1200</v>
      </c>
      <c r="D24" s="1389">
        <v>100</v>
      </c>
      <c r="E24" s="1390">
        <f>D24*100/C24</f>
        <v>8.333333333333334</v>
      </c>
      <c r="F24" s="1391">
        <f>D24/D$20*100</f>
        <v>9.319717285280153E-05</v>
      </c>
    </row>
    <row r="25" spans="1:7" s="174" customFormat="1" ht="15.75" customHeight="1">
      <c r="A25" s="1371"/>
      <c r="B25" s="699" t="s">
        <v>24</v>
      </c>
      <c r="C25" s="683">
        <f>SUM(9W!D905)</f>
        <v>80475567.99</v>
      </c>
      <c r="D25" s="683">
        <f>SUM(9W!E905)</f>
        <v>40272113.29</v>
      </c>
      <c r="E25" s="1368">
        <f t="shared" si="2"/>
        <v>50.04265803380756</v>
      </c>
      <c r="F25" s="1369">
        <f>D25/D$20*100</f>
        <v>37.53247103435735</v>
      </c>
      <c r="G25" s="174" t="s">
        <v>579</v>
      </c>
    </row>
    <row r="26" spans="1:6" s="221" customFormat="1" ht="16.5" customHeight="1" hidden="1">
      <c r="A26" s="1371"/>
      <c r="B26" s="699" t="s">
        <v>996</v>
      </c>
      <c r="C26" s="683">
        <f>SUM(9W!D907)</f>
        <v>0</v>
      </c>
      <c r="D26" s="683">
        <f>SUM(9W!E907)</f>
        <v>0</v>
      </c>
      <c r="E26" s="1368" t="e">
        <f t="shared" si="2"/>
        <v>#DIV/0!</v>
      </c>
      <c r="F26" s="1369">
        <f>D26/D$20*100</f>
        <v>0</v>
      </c>
    </row>
    <row r="27" spans="1:7" s="174" customFormat="1" ht="18" customHeight="1">
      <c r="A27" s="453" t="s">
        <v>6</v>
      </c>
      <c r="B27" s="692" t="s">
        <v>317</v>
      </c>
      <c r="C27" s="452">
        <f>SUM(9W!D908)</f>
        <v>19249278</v>
      </c>
      <c r="D27" s="452">
        <f>SUM(9W!E908)</f>
        <v>9052727.95</v>
      </c>
      <c r="E27" s="1359">
        <f t="shared" si="2"/>
        <v>47.02892207177848</v>
      </c>
      <c r="F27" s="455">
        <f t="shared" si="3"/>
        <v>8.436886515455374</v>
      </c>
      <c r="G27" s="174" t="s">
        <v>1147</v>
      </c>
    </row>
    <row r="28" spans="1:6" s="174" customFormat="1" ht="18" customHeight="1">
      <c r="A28" s="453" t="s">
        <v>11</v>
      </c>
      <c r="B28" s="692" t="s">
        <v>27</v>
      </c>
      <c r="C28" s="452">
        <f>SUM(9W!D909)</f>
        <v>13435627</v>
      </c>
      <c r="D28" s="452">
        <f>SUM(9W!E909)</f>
        <v>6946855.1</v>
      </c>
      <c r="E28" s="1359">
        <f t="shared" si="2"/>
        <v>51.70473324393421</v>
      </c>
      <c r="F28" s="455">
        <f t="shared" si="3"/>
        <v>6.474272555380657</v>
      </c>
    </row>
    <row r="29" spans="1:6" s="174" customFormat="1" ht="18" customHeight="1">
      <c r="A29" s="453" t="s">
        <v>28</v>
      </c>
      <c r="B29" s="692" t="s">
        <v>601</v>
      </c>
      <c r="C29" s="452">
        <f>9W!D910</f>
        <v>399250</v>
      </c>
      <c r="D29" s="452">
        <f>9W!E910</f>
        <v>72145.62</v>
      </c>
      <c r="E29" s="1359">
        <f>D29*100/C29</f>
        <v>18.07028678772699</v>
      </c>
      <c r="F29" s="455">
        <f>D29/D$20*100</f>
        <v>0.06723767817712534</v>
      </c>
    </row>
    <row r="30" spans="1:6" s="174" customFormat="1" ht="18" customHeight="1">
      <c r="A30" s="453" t="s">
        <v>600</v>
      </c>
      <c r="B30" s="692" t="s">
        <v>13</v>
      </c>
      <c r="C30" s="452">
        <f>SUM(9W!D911)</f>
        <v>12796031</v>
      </c>
      <c r="D30" s="452">
        <f>SUM(9W!E911)</f>
        <v>3335875.54</v>
      </c>
      <c r="E30" s="1359">
        <f t="shared" si="2"/>
        <v>26.069611272432834</v>
      </c>
      <c r="F30" s="455">
        <f t="shared" si="3"/>
        <v>3.108941693168126</v>
      </c>
    </row>
    <row r="31" spans="1:10" s="460" customFormat="1" ht="16.5" customHeight="1">
      <c r="A31" s="457" t="s">
        <v>172</v>
      </c>
      <c r="B31" s="1366" t="s">
        <v>1272</v>
      </c>
      <c r="C31" s="458">
        <f>SUM(C32,C37)</f>
        <v>54913702</v>
      </c>
      <c r="D31" s="458">
        <f>SUM(D32,D37)</f>
        <v>18840323.11</v>
      </c>
      <c r="E31" s="1367">
        <f t="shared" si="2"/>
        <v>34.30896556564334</v>
      </c>
      <c r="F31" s="459">
        <f t="shared" si="3"/>
        <v>17.55864849485301</v>
      </c>
      <c r="I31" s="206"/>
      <c r="J31" s="206"/>
    </row>
    <row r="32" spans="1:10" s="174" customFormat="1" ht="27" customHeight="1">
      <c r="A32" s="453" t="s">
        <v>7</v>
      </c>
      <c r="B32" s="566" t="s">
        <v>1143</v>
      </c>
      <c r="C32" s="567">
        <f>SUM(9W!D913,9W!D914)</f>
        <v>54913702</v>
      </c>
      <c r="D32" s="567">
        <f>SUM(9W!E913,9W!E914)</f>
        <v>18840323.11</v>
      </c>
      <c r="E32" s="1359">
        <f aca="true" t="shared" si="4" ref="E32:E37">D32*100/C32</f>
        <v>34.30896556564334</v>
      </c>
      <c r="F32" s="455">
        <f t="shared" si="3"/>
        <v>17.55864849485301</v>
      </c>
      <c r="I32" s="206">
        <f>SUM(C33,C34,C35,C36)</f>
        <v>54913702</v>
      </c>
      <c r="J32" s="206">
        <f>SUM(D33,D34,D35,D36)</f>
        <v>18840323.11</v>
      </c>
    </row>
    <row r="33" spans="1:8" s="221" customFormat="1" ht="21" customHeight="1">
      <c r="A33" s="1371"/>
      <c r="B33" s="580" t="s">
        <v>1145</v>
      </c>
      <c r="C33" s="581">
        <v>30034188</v>
      </c>
      <c r="D33" s="581">
        <v>8277355.25</v>
      </c>
      <c r="E33" s="1368">
        <f t="shared" si="4"/>
        <v>27.559777044746472</v>
      </c>
      <c r="F33" s="1369">
        <f t="shared" si="3"/>
        <v>7.714261079982941</v>
      </c>
      <c r="G33" s="1049">
        <f>SUM(C33:C37)</f>
        <v>54913702</v>
      </c>
      <c r="H33" s="1049">
        <f>SUM(D33:D37)</f>
        <v>18840323.11</v>
      </c>
    </row>
    <row r="34" spans="1:8" s="221" customFormat="1" ht="18" customHeight="1">
      <c r="A34" s="1371"/>
      <c r="B34" s="1370" t="s">
        <v>601</v>
      </c>
      <c r="C34" s="1543">
        <f>SUM(9W!D914)</f>
        <v>13154107</v>
      </c>
      <c r="D34" s="1543">
        <f>SUM(9W!E914)</f>
        <v>4096413.6500000004</v>
      </c>
      <c r="E34" s="1368">
        <f t="shared" si="4"/>
        <v>31.14170844132559</v>
      </c>
      <c r="F34" s="1369">
        <f t="shared" si="3"/>
        <v>3.8177417101562563</v>
      </c>
      <c r="G34" s="1372" t="s">
        <v>1146</v>
      </c>
      <c r="H34" s="1372" t="s">
        <v>1146</v>
      </c>
    </row>
    <row r="35" spans="1:8" s="221" customFormat="1" ht="18" customHeight="1">
      <c r="A35" s="1371"/>
      <c r="B35" s="1370" t="s">
        <v>12</v>
      </c>
      <c r="C35" s="1543">
        <v>4933160</v>
      </c>
      <c r="D35" s="1543">
        <v>445638.63</v>
      </c>
      <c r="E35" s="1368">
        <f t="shared" si="4"/>
        <v>9.033532867371015</v>
      </c>
      <c r="F35" s="1369">
        <f t="shared" si="3"/>
        <v>0.4153226042999566</v>
      </c>
      <c r="G35" s="1049">
        <f>C31-G33</f>
        <v>0</v>
      </c>
      <c r="H35" s="1049">
        <f>D31-H33</f>
        <v>0</v>
      </c>
    </row>
    <row r="36" spans="1:6" s="221" customFormat="1" ht="18" customHeight="1">
      <c r="A36" s="1371"/>
      <c r="B36" s="1370" t="s">
        <v>1144</v>
      </c>
      <c r="C36" s="581">
        <v>6792247</v>
      </c>
      <c r="D36" s="581">
        <v>6020915.58</v>
      </c>
      <c r="E36" s="1368">
        <f t="shared" si="4"/>
        <v>88.6439433077154</v>
      </c>
      <c r="F36" s="1369">
        <f t="shared" si="3"/>
        <v>5.611323100413857</v>
      </c>
    </row>
    <row r="37" spans="1:6" s="174" customFormat="1" ht="38.25" customHeight="1" hidden="1" thickBot="1">
      <c r="A37" s="1183" t="s">
        <v>8</v>
      </c>
      <c r="B37" s="1410" t="s">
        <v>1141</v>
      </c>
      <c r="C37" s="1411">
        <f>SUM(9W!D915)</f>
        <v>0</v>
      </c>
      <c r="D37" s="1411">
        <f>SUM(9W!E915)</f>
        <v>0</v>
      </c>
      <c r="E37" s="1412" t="e">
        <f t="shared" si="4"/>
        <v>#DIV/0!</v>
      </c>
      <c r="F37" s="1413">
        <f t="shared" si="3"/>
        <v>0</v>
      </c>
    </row>
    <row r="38" spans="1:6" s="174" customFormat="1" ht="18" customHeight="1">
      <c r="A38" s="1120" t="s">
        <v>175</v>
      </c>
      <c r="B38" s="1350" t="s">
        <v>63</v>
      </c>
      <c r="C38" s="382">
        <f>C9-C20</f>
        <v>-8943246</v>
      </c>
      <c r="D38" s="382">
        <f>D9-D20</f>
        <v>-3895295.0200000107</v>
      </c>
      <c r="E38" s="1351" t="s">
        <v>176</v>
      </c>
      <c r="F38" s="1352" t="s">
        <v>176</v>
      </c>
    </row>
    <row r="39" spans="1:6" s="174" customFormat="1" ht="18.75" customHeight="1">
      <c r="A39" s="1120" t="s">
        <v>183</v>
      </c>
      <c r="B39" s="1350" t="s">
        <v>334</v>
      </c>
      <c r="C39" s="382">
        <f>C40-C45</f>
        <v>8943246</v>
      </c>
      <c r="D39" s="382">
        <f>D40-D45</f>
        <v>9983899.05</v>
      </c>
      <c r="E39" s="1351" t="s">
        <v>176</v>
      </c>
      <c r="F39" s="1353" t="s">
        <v>176</v>
      </c>
    </row>
    <row r="40" spans="1:6" s="174" customFormat="1" ht="18" customHeight="1">
      <c r="A40" s="1354" t="s">
        <v>171</v>
      </c>
      <c r="B40" s="1355" t="s">
        <v>160</v>
      </c>
      <c r="C40" s="688">
        <f>SUM(C41,C42,C43,C44)</f>
        <v>14743246</v>
      </c>
      <c r="D40" s="688">
        <f>SUM(D41,D42,D43,D44)</f>
        <v>11383899.05</v>
      </c>
      <c r="E40" s="1356">
        <f aca="true" t="shared" si="5" ref="E40:E48">D40/C40*100</f>
        <v>77.21433292234289</v>
      </c>
      <c r="F40" s="1357">
        <f>D40/D$40*100</f>
        <v>100</v>
      </c>
    </row>
    <row r="41" spans="1:6" s="174" customFormat="1" ht="18" customHeight="1" hidden="1">
      <c r="A41" s="1354"/>
      <c r="B41" s="1358" t="s">
        <v>1009</v>
      </c>
      <c r="C41" s="452">
        <v>0</v>
      </c>
      <c r="D41" s="452">
        <f>5PiR!E9</f>
        <v>0</v>
      </c>
      <c r="E41" s="1359" t="e">
        <f t="shared" si="5"/>
        <v>#DIV/0!</v>
      </c>
      <c r="F41" s="455">
        <f>D41/D$40*100</f>
        <v>0</v>
      </c>
    </row>
    <row r="42" spans="1:6" s="174" customFormat="1" ht="18" customHeight="1">
      <c r="A42" s="1354"/>
      <c r="B42" s="1358" t="s">
        <v>887</v>
      </c>
      <c r="C42" s="452">
        <f>5PiR!D9+5PiR!D12</f>
        <v>43300</v>
      </c>
      <c r="D42" s="452">
        <f>5PiR!E9+5PiR!E12</f>
        <v>0</v>
      </c>
      <c r="E42" s="1359">
        <f t="shared" si="5"/>
        <v>0</v>
      </c>
      <c r="F42" s="455">
        <f>D42/D$40*100</f>
        <v>0</v>
      </c>
    </row>
    <row r="43" spans="1:6" s="174" customFormat="1" ht="18" customHeight="1">
      <c r="A43" s="1354"/>
      <c r="B43" s="1358" t="s">
        <v>1400</v>
      </c>
      <c r="C43" s="452">
        <f>5PiR!D13</f>
        <v>3316047</v>
      </c>
      <c r="D43" s="452">
        <f>5PiR!E13</f>
        <v>0</v>
      </c>
      <c r="E43" s="1359">
        <f t="shared" si="5"/>
        <v>0</v>
      </c>
      <c r="F43" s="455">
        <f>D43/D$40*100</f>
        <v>0</v>
      </c>
    </row>
    <row r="44" spans="1:6" s="174" customFormat="1" ht="18" customHeight="1">
      <c r="A44" s="1354"/>
      <c r="B44" s="1358" t="s">
        <v>260</v>
      </c>
      <c r="C44" s="452">
        <f>5PiR!D11</f>
        <v>11383899</v>
      </c>
      <c r="D44" s="452">
        <f>5PiR!E11</f>
        <v>11383899.05</v>
      </c>
      <c r="E44" s="1359">
        <f t="shared" si="5"/>
        <v>100.00000043921685</v>
      </c>
      <c r="F44" s="455">
        <f>D44/D$40*100</f>
        <v>100</v>
      </c>
    </row>
    <row r="45" spans="1:6" s="174" customFormat="1" ht="18" customHeight="1">
      <c r="A45" s="1354" t="s">
        <v>172</v>
      </c>
      <c r="B45" s="1355" t="s">
        <v>1296</v>
      </c>
      <c r="C45" s="1360">
        <f>SUM(C46,C47,C48)</f>
        <v>5800000</v>
      </c>
      <c r="D45" s="1360">
        <f>SUM(D46,D47,D48)</f>
        <v>1400000</v>
      </c>
      <c r="E45" s="1356">
        <f t="shared" si="5"/>
        <v>24.137931034482758</v>
      </c>
      <c r="F45" s="1361">
        <f>D45/D$45*100</f>
        <v>100</v>
      </c>
    </row>
    <row r="46" spans="1:6" s="174" customFormat="1" ht="18" customHeight="1">
      <c r="A46" s="1354"/>
      <c r="B46" s="1358" t="s">
        <v>9</v>
      </c>
      <c r="C46" s="456">
        <f>5PiR!D17</f>
        <v>2800000</v>
      </c>
      <c r="D46" s="456">
        <f>5PiR!E17</f>
        <v>1400000</v>
      </c>
      <c r="E46" s="1359">
        <f t="shared" si="5"/>
        <v>50</v>
      </c>
      <c r="F46" s="455">
        <f>D46/D$45*100</f>
        <v>100</v>
      </c>
    </row>
    <row r="47" spans="1:6" s="174" customFormat="1" ht="18" customHeight="1" hidden="1">
      <c r="A47" s="1354"/>
      <c r="B47" s="1358" t="s">
        <v>1380</v>
      </c>
      <c r="C47" s="456">
        <f>5PiR!D20</f>
        <v>0</v>
      </c>
      <c r="D47" s="456">
        <f>5PiR!E20</f>
        <v>0</v>
      </c>
      <c r="E47" s="1359" t="e">
        <f t="shared" si="5"/>
        <v>#DIV/0!</v>
      </c>
      <c r="F47" s="455">
        <f>D47/D$45*100</f>
        <v>0</v>
      </c>
    </row>
    <row r="48" spans="1:6" s="174" customFormat="1" ht="15.75" customHeight="1">
      <c r="A48" s="1354"/>
      <c r="B48" s="1358" t="s">
        <v>64</v>
      </c>
      <c r="C48" s="456">
        <f>5PiR!D16</f>
        <v>3000000</v>
      </c>
      <c r="D48" s="456">
        <f>5PiR!E16</f>
        <v>0</v>
      </c>
      <c r="E48" s="1359">
        <f t="shared" si="5"/>
        <v>0</v>
      </c>
      <c r="F48" s="455">
        <f>D48/D$45*100</f>
        <v>0</v>
      </c>
    </row>
    <row r="49" spans="1:6" ht="0.75" customHeight="1" thickBot="1">
      <c r="A49" s="29"/>
      <c r="B49" s="30"/>
      <c r="C49" s="31"/>
      <c r="D49" s="31"/>
      <c r="E49" s="32"/>
      <c r="F49" s="33"/>
    </row>
    <row r="50" spans="1:5" ht="14.25" customHeight="1">
      <c r="A50" s="15"/>
      <c r="B50" s="34"/>
      <c r="C50" s="35"/>
      <c r="D50" s="35"/>
      <c r="E50" s="16"/>
    </row>
    <row r="51" spans="1:5" s="174" customFormat="1" ht="15.75" customHeight="1" hidden="1">
      <c r="A51" s="173"/>
      <c r="B51" s="449" t="s">
        <v>15</v>
      </c>
      <c r="C51" s="409">
        <v>240704574.1</v>
      </c>
      <c r="D51" s="409">
        <v>103404097.16</v>
      </c>
      <c r="E51" s="192"/>
    </row>
    <row r="52" spans="1:5" s="174" customFormat="1" ht="15.75" customHeight="1" hidden="1">
      <c r="A52" s="173"/>
      <c r="B52" s="449" t="s">
        <v>16</v>
      </c>
      <c r="C52" s="450">
        <f>C9</f>
        <v>240704574.1</v>
      </c>
      <c r="D52" s="450">
        <f>D9</f>
        <v>103404097.16</v>
      </c>
      <c r="E52" s="192"/>
    </row>
    <row r="53" spans="1:5" s="174" customFormat="1" ht="15.75" customHeight="1" hidden="1" thickBot="1">
      <c r="A53" s="173"/>
      <c r="B53" s="449" t="s">
        <v>1323</v>
      </c>
      <c r="C53" s="451">
        <f>C51-C52</f>
        <v>0</v>
      </c>
      <c r="D53" s="451">
        <f>D51-D52</f>
        <v>0</v>
      </c>
      <c r="E53" s="192"/>
    </row>
    <row r="54" spans="1:5" s="174" customFormat="1" ht="15.75" customHeight="1" hidden="1" thickTop="1">
      <c r="A54" s="173"/>
      <c r="B54" s="449"/>
      <c r="C54" s="1398"/>
      <c r="D54" s="1398"/>
      <c r="E54" s="192"/>
    </row>
    <row r="55" spans="1:5" s="174" customFormat="1" ht="15.75" customHeight="1" hidden="1">
      <c r="A55" s="173"/>
      <c r="B55" s="449" t="s">
        <v>14</v>
      </c>
      <c r="C55" s="1398">
        <v>249647820.1</v>
      </c>
      <c r="D55" s="1398">
        <v>107299392.18</v>
      </c>
      <c r="E55" s="192"/>
    </row>
    <row r="56" spans="1:5" s="174" customFormat="1" ht="15.75" customHeight="1" hidden="1">
      <c r="A56" s="173"/>
      <c r="B56" s="449" t="s">
        <v>16</v>
      </c>
      <c r="C56" s="1399">
        <f>SUM(C20)</f>
        <v>249647820.1</v>
      </c>
      <c r="D56" s="1399">
        <f>SUM(D20)</f>
        <v>107299392.18</v>
      </c>
      <c r="E56" s="192"/>
    </row>
    <row r="57" spans="1:5" s="174" customFormat="1" ht="13.5" hidden="1" thickBot="1">
      <c r="A57" s="173"/>
      <c r="B57" s="449" t="s">
        <v>1323</v>
      </c>
      <c r="C57" s="1400">
        <f>C55-C56</f>
        <v>0</v>
      </c>
      <c r="D57" s="1400">
        <f>D55-D56</f>
        <v>0</v>
      </c>
      <c r="E57" s="192"/>
    </row>
    <row r="58" spans="1:5" s="174" customFormat="1" ht="12.75">
      <c r="A58" s="173"/>
      <c r="B58" s="235"/>
      <c r="C58" s="1398"/>
      <c r="D58" s="1398"/>
      <c r="E58" s="192"/>
    </row>
    <row r="59" spans="2:4" ht="12.75">
      <c r="B59" s="37"/>
      <c r="C59" s="36"/>
      <c r="D59" s="36"/>
    </row>
    <row r="60" spans="2:4" ht="12.75">
      <c r="B60" s="37"/>
      <c r="C60" s="36"/>
      <c r="D60" s="36"/>
    </row>
    <row r="61" spans="2:4" ht="12.75">
      <c r="B61" s="37"/>
      <c r="C61" s="36"/>
      <c r="D61" s="36"/>
    </row>
    <row r="62" spans="2:4" ht="12.75">
      <c r="B62" s="37"/>
      <c r="C62" s="36"/>
      <c r="D62" s="36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ht="12.75">
      <c r="B114" s="37"/>
    </row>
    <row r="115" ht="12.75">
      <c r="B115" s="37"/>
    </row>
    <row r="116" ht="12.75">
      <c r="B116" s="37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7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7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</sheetData>
  <sheetProtection password="CF53" sheet="1" formatRows="0" insertColumns="0" insertRows="0" insertHyperlinks="0" deleteColumns="0" deleteRows="0" sort="0" autoFilter="0" pivotTables="0"/>
  <mergeCells count="8">
    <mergeCell ref="E1:F1"/>
    <mergeCell ref="A4:E4"/>
    <mergeCell ref="C6:D6"/>
    <mergeCell ref="A3:F3"/>
    <mergeCell ref="A6:A7"/>
    <mergeCell ref="B6:B7"/>
    <mergeCell ref="E6:E7"/>
    <mergeCell ref="F6:F7"/>
  </mergeCells>
  <printOptions/>
  <pageMargins left="0.984251968503937" right="0.9055118110236221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00"/>
  <sheetViews>
    <sheetView view="pageBreakPreview" zoomScaleSheetLayoutView="100" zoomScalePageLayoutView="0" workbookViewId="0" topLeftCell="A1">
      <pane ySplit="7" topLeftCell="A27" activePane="bottomLeft" state="frozen"/>
      <selection pane="topLeft" activeCell="I244" sqref="I244"/>
      <selection pane="bottomLeft" activeCell="K39" sqref="K39"/>
    </sheetView>
  </sheetViews>
  <sheetFormatPr defaultColWidth="9.00390625" defaultRowHeight="12.75"/>
  <cols>
    <col min="1" max="1" width="4.375" style="408" customWidth="1"/>
    <col min="2" max="2" width="27.625" style="412" customWidth="1"/>
    <col min="3" max="3" width="13.25390625" style="412" customWidth="1"/>
    <col min="4" max="4" width="13.625" style="412" customWidth="1"/>
    <col min="5" max="5" width="5.625" style="413" customWidth="1"/>
    <col min="6" max="7" width="13.375" style="412" customWidth="1"/>
    <col min="8" max="8" width="6.00390625" style="413" customWidth="1"/>
    <col min="9" max="9" width="14.375" style="412" customWidth="1"/>
    <col min="10" max="16384" width="9.125" style="412" customWidth="1"/>
  </cols>
  <sheetData>
    <row r="1" spans="7:8" ht="18.75" customHeight="1">
      <c r="G1" s="1597" t="s">
        <v>609</v>
      </c>
      <c r="H1" s="1597"/>
    </row>
    <row r="2" ht="26.25" customHeight="1"/>
    <row r="3" spans="1:10" ht="12.75">
      <c r="A3" s="1605" t="s">
        <v>128</v>
      </c>
      <c r="B3" s="1605"/>
      <c r="C3" s="1605"/>
      <c r="D3" s="1605"/>
      <c r="E3" s="1605"/>
      <c r="F3" s="1605"/>
      <c r="G3" s="1605"/>
      <c r="H3" s="1605"/>
      <c r="I3" s="414"/>
      <c r="J3" s="414"/>
    </row>
    <row r="4" spans="1:8" ht="10.5" customHeight="1" thickBot="1">
      <c r="A4" s="415"/>
      <c r="B4" s="416"/>
      <c r="C4" s="416"/>
      <c r="D4" s="416"/>
      <c r="E4" s="416"/>
      <c r="F4" s="416"/>
      <c r="G4" s="416"/>
      <c r="H4" s="417" t="s">
        <v>1351</v>
      </c>
    </row>
    <row r="5" spans="1:9" ht="15" customHeight="1">
      <c r="A5" s="1598" t="s">
        <v>97</v>
      </c>
      <c r="B5" s="1600" t="s">
        <v>191</v>
      </c>
      <c r="C5" s="1602" t="s">
        <v>192</v>
      </c>
      <c r="D5" s="1603"/>
      <c r="E5" s="1603"/>
      <c r="F5" s="1602" t="s">
        <v>161</v>
      </c>
      <c r="G5" s="1603"/>
      <c r="H5" s="1604"/>
      <c r="I5" s="410"/>
    </row>
    <row r="6" spans="1:8" ht="14.25" customHeight="1">
      <c r="A6" s="1599"/>
      <c r="B6" s="1601"/>
      <c r="C6" s="418" t="s">
        <v>162</v>
      </c>
      <c r="D6" s="419" t="s">
        <v>1355</v>
      </c>
      <c r="E6" s="419" t="s">
        <v>1356</v>
      </c>
      <c r="F6" s="418" t="s">
        <v>162</v>
      </c>
      <c r="G6" s="419" t="s">
        <v>1355</v>
      </c>
      <c r="H6" s="420" t="s">
        <v>1356</v>
      </c>
    </row>
    <row r="7" spans="1:8" s="424" customFormat="1" ht="11.25" thickBot="1">
      <c r="A7" s="421">
        <v>1</v>
      </c>
      <c r="B7" s="422">
        <v>2</v>
      </c>
      <c r="C7" s="422">
        <v>3</v>
      </c>
      <c r="D7" s="422">
        <v>4</v>
      </c>
      <c r="E7" s="422">
        <v>5</v>
      </c>
      <c r="F7" s="422">
        <v>6</v>
      </c>
      <c r="G7" s="422">
        <v>7</v>
      </c>
      <c r="H7" s="423">
        <v>8</v>
      </c>
    </row>
    <row r="8" spans="1:8" ht="4.5" customHeight="1">
      <c r="A8" s="425"/>
      <c r="B8" s="426"/>
      <c r="C8" s="426"/>
      <c r="D8" s="426"/>
      <c r="E8" s="427"/>
      <c r="F8" s="1378"/>
      <c r="G8" s="1378"/>
      <c r="H8" s="1379"/>
    </row>
    <row r="9" spans="1:8" ht="19.5" customHeight="1">
      <c r="A9" s="368" t="s">
        <v>1357</v>
      </c>
      <c r="B9" s="426" t="s">
        <v>193</v>
      </c>
      <c r="C9" s="279">
        <f>SUM(6DOCHODY!E8,6DOCHODY!E422)</f>
        <v>22321.11</v>
      </c>
      <c r="D9" s="279">
        <f>SUM(6DOCHODY!F8,6DOCHODY!F422)</f>
        <v>22321.11</v>
      </c>
      <c r="E9" s="428">
        <f>D9*100/C9</f>
        <v>100</v>
      </c>
      <c r="F9" s="279">
        <f>SUM(9W!D8)</f>
        <v>249221.11</v>
      </c>
      <c r="G9" s="279">
        <f>SUM(9W!E8)</f>
        <v>74857.3</v>
      </c>
      <c r="H9" s="281">
        <f aca="true" t="shared" si="0" ref="H9:H21">G9*100/F9</f>
        <v>30.036500519558718</v>
      </c>
    </row>
    <row r="10" spans="1:8" ht="19.5" customHeight="1">
      <c r="A10" s="368" t="s">
        <v>1359</v>
      </c>
      <c r="B10" s="426" t="s">
        <v>194</v>
      </c>
      <c r="C10" s="279">
        <f>SUM(6DOCHODY!E11)</f>
        <v>16700</v>
      </c>
      <c r="D10" s="279">
        <f>SUM(6DOCHODY!F11)</f>
        <v>12595.18</v>
      </c>
      <c r="E10" s="428">
        <f>D10*100/C10</f>
        <v>75.42023952095808</v>
      </c>
      <c r="F10" s="279">
        <f>SUM(9W!D21)</f>
        <v>20000</v>
      </c>
      <c r="G10" s="279">
        <f>SUM(9W!E21)</f>
        <v>702</v>
      </c>
      <c r="H10" s="281">
        <f t="shared" si="0"/>
        <v>3.51</v>
      </c>
    </row>
    <row r="11" spans="1:8" ht="27.75" customHeight="1">
      <c r="A11" s="368" t="s">
        <v>235</v>
      </c>
      <c r="B11" s="429" t="s">
        <v>1301</v>
      </c>
      <c r="C11" s="279">
        <f>6DOCHODY!E16</f>
        <v>0</v>
      </c>
      <c r="D11" s="279">
        <f>6DOCHODY!F16</f>
        <v>0</v>
      </c>
      <c r="E11" s="428" t="s">
        <v>144</v>
      </c>
      <c r="F11" s="279">
        <f>SUM(9W!D26)</f>
        <v>1429000</v>
      </c>
      <c r="G11" s="279">
        <f>SUM(9W!E26)</f>
        <v>681562.27</v>
      </c>
      <c r="H11" s="281">
        <f>G11/F11*100</f>
        <v>47.69505038488454</v>
      </c>
    </row>
    <row r="12" spans="1:8" ht="19.5" customHeight="1">
      <c r="A12" s="368" t="s">
        <v>1361</v>
      </c>
      <c r="B12" s="426" t="s">
        <v>195</v>
      </c>
      <c r="C12" s="279">
        <f>6DOCHODY!E19</f>
        <v>0</v>
      </c>
      <c r="D12" s="279">
        <f>6DOCHODY!F19</f>
        <v>0</v>
      </c>
      <c r="E12" s="428" t="s">
        <v>144</v>
      </c>
      <c r="F12" s="279">
        <f>SUM(9W!D31)</f>
        <v>5854188</v>
      </c>
      <c r="G12" s="279">
        <f>SUM(9W!E31)</f>
        <v>509498.65</v>
      </c>
      <c r="H12" s="281">
        <f t="shared" si="0"/>
        <v>8.703148071090304</v>
      </c>
    </row>
    <row r="13" spans="1:8" ht="19.5" customHeight="1" hidden="1">
      <c r="A13" s="368" t="s">
        <v>207</v>
      </c>
      <c r="B13" s="426" t="s">
        <v>208</v>
      </c>
      <c r="C13" s="279">
        <f>SUM(6DOCHODY!E22)</f>
        <v>0</v>
      </c>
      <c r="D13" s="279">
        <f>SUM(6DOCHODY!F22)</f>
        <v>0</v>
      </c>
      <c r="E13" s="428" t="s">
        <v>144</v>
      </c>
      <c r="F13" s="279">
        <v>0</v>
      </c>
      <c r="G13" s="279">
        <v>0</v>
      </c>
      <c r="H13" s="281" t="s">
        <v>144</v>
      </c>
    </row>
    <row r="14" spans="1:8" ht="19.5" customHeight="1">
      <c r="A14" s="368" t="s">
        <v>1414</v>
      </c>
      <c r="B14" s="426" t="s">
        <v>186</v>
      </c>
      <c r="C14" s="279">
        <f>SUM(6DOCHODY!E25,6DOCHODY!E425)</f>
        <v>3502805</v>
      </c>
      <c r="D14" s="279">
        <f>SUM(6DOCHODY!F25,6DOCHODY!F425)</f>
        <v>4589001.220000001</v>
      </c>
      <c r="E14" s="428">
        <f>D14*100/C14</f>
        <v>131.00932595448506</v>
      </c>
      <c r="F14" s="279">
        <f>SUM(9W!D39,9W!D565)</f>
        <v>53969604</v>
      </c>
      <c r="G14" s="279">
        <f>SUM(9W!E39,9W!E565)</f>
        <v>24181096.819999997</v>
      </c>
      <c r="H14" s="281">
        <f t="shared" si="0"/>
        <v>44.805029179017126</v>
      </c>
    </row>
    <row r="15" spans="1:8" ht="19.5" customHeight="1">
      <c r="A15" s="368" t="s">
        <v>1419</v>
      </c>
      <c r="B15" s="426" t="s">
        <v>196</v>
      </c>
      <c r="C15" s="279">
        <f>SUM(6DOCHODY!E48)</f>
        <v>1172086</v>
      </c>
      <c r="D15" s="279">
        <f>SUM(6DOCHODY!F48)</f>
        <v>0</v>
      </c>
      <c r="E15" s="428">
        <f>D15*100/C15</f>
        <v>0</v>
      </c>
      <c r="F15" s="279">
        <f>SUM(9W!D59)</f>
        <v>571100</v>
      </c>
      <c r="G15" s="279">
        <f>SUM(9W!E59)</f>
        <v>256504.45</v>
      </c>
      <c r="H15" s="281">
        <f t="shared" si="0"/>
        <v>44.914104360007</v>
      </c>
    </row>
    <row r="16" spans="1:8" ht="19.5" customHeight="1">
      <c r="A16" s="368" t="s">
        <v>1421</v>
      </c>
      <c r="B16" s="429" t="s">
        <v>197</v>
      </c>
      <c r="C16" s="279">
        <f>SUM(6DOCHODY!E66,6DOCHODY!E451)</f>
        <v>48418387</v>
      </c>
      <c r="D16" s="279">
        <f>SUM(6DOCHODY!F66,6DOCHODY!F451)</f>
        <v>13919123.99</v>
      </c>
      <c r="E16" s="428">
        <f>D16*100/C16</f>
        <v>28.74759952247067</v>
      </c>
      <c r="F16" s="279">
        <f>SUM(9W!D70,9W!D579)</f>
        <v>13988333</v>
      </c>
      <c r="G16" s="279">
        <f>SUM(9W!E70,9W!E579)</f>
        <v>7253793.74</v>
      </c>
      <c r="H16" s="281">
        <f t="shared" si="0"/>
        <v>51.85602701908798</v>
      </c>
    </row>
    <row r="17" spans="1:8" ht="19.5" customHeight="1">
      <c r="A17" s="368" t="s">
        <v>1425</v>
      </c>
      <c r="B17" s="429" t="s">
        <v>198</v>
      </c>
      <c r="C17" s="279">
        <f>SUM(6DOCHODY!E91,6DOCHODY!E455)</f>
        <v>1016000</v>
      </c>
      <c r="D17" s="279">
        <f>SUM(6DOCHODY!F91,6DOCHODY!F455)</f>
        <v>732119.6500000001</v>
      </c>
      <c r="E17" s="428">
        <f>D17*100/C17</f>
        <v>72.05902066929136</v>
      </c>
      <c r="F17" s="279">
        <f>SUM(9W!D90,9W!D586)</f>
        <v>2466400</v>
      </c>
      <c r="G17" s="279">
        <f>SUM(9W!E90,9W!E586)</f>
        <v>506225.55</v>
      </c>
      <c r="H17" s="281">
        <f t="shared" si="0"/>
        <v>20.524876337982484</v>
      </c>
    </row>
    <row r="18" spans="1:9" ht="19.5" customHeight="1">
      <c r="A18" s="368" t="s">
        <v>1437</v>
      </c>
      <c r="B18" s="429" t="s">
        <v>199</v>
      </c>
      <c r="C18" s="279">
        <f>SUM(6DOCHODY!E102,6DOCHODY!E470)</f>
        <v>1595449</v>
      </c>
      <c r="D18" s="279">
        <f>SUM(6DOCHODY!F102,6DOCHODY!F470)</f>
        <v>1538399.23</v>
      </c>
      <c r="E18" s="428">
        <f>D18/C18*100</f>
        <v>96.42421851152872</v>
      </c>
      <c r="F18" s="279">
        <f>SUM(9W!D106,9W!D610)</f>
        <v>19805774</v>
      </c>
      <c r="G18" s="279">
        <f>SUM(9W!E106,9W!E610)</f>
        <v>7918366.149999999</v>
      </c>
      <c r="H18" s="281">
        <f t="shared" si="0"/>
        <v>39.98008939211363</v>
      </c>
      <c r="I18" s="410"/>
    </row>
    <row r="19" spans="1:8" ht="39" customHeight="1">
      <c r="A19" s="368" t="s">
        <v>164</v>
      </c>
      <c r="B19" s="429" t="s">
        <v>1292</v>
      </c>
      <c r="C19" s="279">
        <f>SUM(6DOCHODY!E133)</f>
        <v>7164</v>
      </c>
      <c r="D19" s="279">
        <f>SUM(6DOCHODY!F133)</f>
        <v>3582</v>
      </c>
      <c r="E19" s="428">
        <f>D19/C19*100</f>
        <v>50</v>
      </c>
      <c r="F19" s="279">
        <f>SUM(9W!D152)</f>
        <v>7164</v>
      </c>
      <c r="G19" s="279">
        <f>SUM(9W!E152)</f>
        <v>382.85</v>
      </c>
      <c r="H19" s="281">
        <f t="shared" si="0"/>
        <v>5.344081518704634</v>
      </c>
    </row>
    <row r="20" spans="1:8" ht="18.75" customHeight="1" hidden="1">
      <c r="A20" s="368" t="s">
        <v>629</v>
      </c>
      <c r="B20" s="429" t="s">
        <v>1151</v>
      </c>
      <c r="C20" s="279">
        <v>0</v>
      </c>
      <c r="D20" s="279">
        <v>0</v>
      </c>
      <c r="E20" s="428" t="s">
        <v>144</v>
      </c>
      <c r="F20" s="279">
        <f>9W!D169</f>
        <v>0</v>
      </c>
      <c r="G20" s="279">
        <f>9W!E169</f>
        <v>0</v>
      </c>
      <c r="H20" s="281" t="e">
        <f t="shared" si="0"/>
        <v>#DIV/0!</v>
      </c>
    </row>
    <row r="21" spans="1:8" ht="30" customHeight="1">
      <c r="A21" s="368" t="s">
        <v>1452</v>
      </c>
      <c r="B21" s="429" t="s">
        <v>200</v>
      </c>
      <c r="C21" s="279">
        <f>SUM(6DOCHODY!E140,6DOCHODY!E481)</f>
        <v>4508113</v>
      </c>
      <c r="D21" s="279">
        <f>SUM(6DOCHODY!F140,6DOCHODY!F481)</f>
        <v>2574882.87</v>
      </c>
      <c r="E21" s="428">
        <f>D21/C21*100</f>
        <v>57.11664436982835</v>
      </c>
      <c r="F21" s="279">
        <f>SUM(9W!D176,9W!D630)</f>
        <v>5354819</v>
      </c>
      <c r="G21" s="279">
        <f>SUM(9W!E176,9W!E630)</f>
        <v>2519503.88</v>
      </c>
      <c r="H21" s="281">
        <f t="shared" si="0"/>
        <v>47.05114925453129</v>
      </c>
    </row>
    <row r="22" spans="1:8" ht="65.25" customHeight="1">
      <c r="A22" s="368" t="s">
        <v>201</v>
      </c>
      <c r="B22" s="429" t="s">
        <v>1300</v>
      </c>
      <c r="C22" s="279">
        <f>SUM(6DOCHODY!E487,6DOCHODY!E157)</f>
        <v>86454366</v>
      </c>
      <c r="D22" s="279">
        <f>SUM(6DOCHODY!F487,6DOCHODY!F157)</f>
        <v>37834146.18</v>
      </c>
      <c r="E22" s="428">
        <f>D22*100/C22</f>
        <v>43.761984420775235</v>
      </c>
      <c r="F22" s="279">
        <f>SUM(9W!D212)</f>
        <v>0</v>
      </c>
      <c r="G22" s="279">
        <f>SUM(9W!E212)</f>
        <v>0</v>
      </c>
      <c r="H22" s="281" t="s">
        <v>144</v>
      </c>
    </row>
    <row r="23" spans="1:8" ht="19.5" customHeight="1">
      <c r="A23" s="368" t="s">
        <v>1456</v>
      </c>
      <c r="B23" s="426" t="s">
        <v>202</v>
      </c>
      <c r="C23" s="279">
        <v>0</v>
      </c>
      <c r="D23" s="279">
        <v>0</v>
      </c>
      <c r="E23" s="428" t="s">
        <v>144</v>
      </c>
      <c r="F23" s="279">
        <f>SUM(9W!D218)</f>
        <v>12796031</v>
      </c>
      <c r="G23" s="279">
        <f>SUM(9W!E218)</f>
        <v>3335875.54</v>
      </c>
      <c r="H23" s="281">
        <f aca="true" t="shared" si="1" ref="H23:H32">G23*100/F23</f>
        <v>26.069611272432834</v>
      </c>
    </row>
    <row r="24" spans="1:8" ht="19.5" customHeight="1">
      <c r="A24" s="368" t="s">
        <v>1457</v>
      </c>
      <c r="B24" s="426" t="s">
        <v>203</v>
      </c>
      <c r="C24" s="279">
        <f>SUM(6DOCHODY!E197,6DOCHODY!E496)</f>
        <v>66309992</v>
      </c>
      <c r="D24" s="279">
        <f>SUM(6DOCHODY!F197,6DOCHODY!F496)</f>
        <v>32785875.060000002</v>
      </c>
      <c r="E24" s="428">
        <f aca="true" t="shared" si="2" ref="E24:E30">D24*100/C24</f>
        <v>49.44334039431041</v>
      </c>
      <c r="F24" s="279">
        <f>SUM(9W!D225)</f>
        <v>1037085</v>
      </c>
      <c r="G24" s="279">
        <f>SUM(9W!E225)</f>
        <v>0</v>
      </c>
      <c r="H24" s="281">
        <f t="shared" si="1"/>
        <v>0</v>
      </c>
    </row>
    <row r="25" spans="1:9" ht="19.5" customHeight="1">
      <c r="A25" s="368" t="s">
        <v>1459</v>
      </c>
      <c r="B25" s="426" t="s">
        <v>187</v>
      </c>
      <c r="C25" s="279">
        <f>SUM(6DOCHODY!E215,6DOCHODY!E508)</f>
        <v>4235521</v>
      </c>
      <c r="D25" s="279">
        <f>SUM(6DOCHODY!F215,6DOCHODY!F508)</f>
        <v>1139084.6500000001</v>
      </c>
      <c r="E25" s="428">
        <f t="shared" si="2"/>
        <v>26.89361356017359</v>
      </c>
      <c r="F25" s="279">
        <f>SUM(9W!D233,9W!D652)</f>
        <v>55641770</v>
      </c>
      <c r="G25" s="279">
        <f>SUM(9W!E233,9W!E652)</f>
        <v>26077675.1</v>
      </c>
      <c r="H25" s="281">
        <f t="shared" si="1"/>
        <v>46.867084026981885</v>
      </c>
      <c r="I25" s="1380"/>
    </row>
    <row r="26" spans="1:9" ht="19.5" customHeight="1">
      <c r="A26" s="368" t="s">
        <v>1468</v>
      </c>
      <c r="B26" s="426" t="s">
        <v>188</v>
      </c>
      <c r="C26" s="279">
        <f>SUM(6DOCHODY!E249,6DOCHODY!E522)</f>
        <v>883000</v>
      </c>
      <c r="D26" s="279">
        <f>SUM(6DOCHODY!F249,6DOCHODY!F522)</f>
        <v>488641.89999999997</v>
      </c>
      <c r="E26" s="428">
        <f t="shared" si="2"/>
        <v>55.3388335220838</v>
      </c>
      <c r="F26" s="279">
        <f>SUM(9W!D295,9W!D703)</f>
        <v>6564005</v>
      </c>
      <c r="G26" s="279">
        <f>SUM(9W!E295,9W!E703)</f>
        <v>3112186.15</v>
      </c>
      <c r="H26" s="281">
        <f t="shared" si="1"/>
        <v>47.412915590405554</v>
      </c>
      <c r="I26" s="410"/>
    </row>
    <row r="27" spans="1:8" ht="19.5" customHeight="1">
      <c r="A27" s="368" t="s">
        <v>445</v>
      </c>
      <c r="B27" s="426" t="s">
        <v>461</v>
      </c>
      <c r="C27" s="279">
        <f>SUM(6DOCHODY!E267,6DOCHODY!E529)</f>
        <v>8730757.99</v>
      </c>
      <c r="D27" s="279">
        <f>SUM(6DOCHODY!F267,6DOCHODY!F529)</f>
        <v>4852608.24</v>
      </c>
      <c r="E27" s="428">
        <f t="shared" si="2"/>
        <v>55.58060646690769</v>
      </c>
      <c r="F27" s="279">
        <f>SUM(9W!D335,9W!D735)</f>
        <v>17890858.990000002</v>
      </c>
      <c r="G27" s="279">
        <f>SUM(9W!E335,9W!E735)</f>
        <v>8808140.48</v>
      </c>
      <c r="H27" s="281">
        <f t="shared" si="1"/>
        <v>49.232630389201894</v>
      </c>
    </row>
    <row r="28" spans="1:8" ht="27" customHeight="1">
      <c r="A28" s="368" t="s">
        <v>1472</v>
      </c>
      <c r="B28" s="430" t="s">
        <v>1299</v>
      </c>
      <c r="C28" s="279">
        <f>SUM(6DOCHODY!E326,6DOCHODY!E554)</f>
        <v>1051774</v>
      </c>
      <c r="D28" s="279">
        <f>SUM(6DOCHODY!F326,6DOCHODY!F554)</f>
        <v>585881.02</v>
      </c>
      <c r="E28" s="428">
        <f t="shared" si="2"/>
        <v>55.704079013172034</v>
      </c>
      <c r="F28" s="279">
        <f>SUM(9W!D413,9W!D778)</f>
        <v>4390742</v>
      </c>
      <c r="G28" s="279">
        <f>SUM(9W!E413,9W!E778)</f>
        <v>1966157.4100000001</v>
      </c>
      <c r="H28" s="281">
        <f t="shared" si="1"/>
        <v>44.779616064892906</v>
      </c>
    </row>
    <row r="29" spans="1:8" ht="19.5" customHeight="1">
      <c r="A29" s="368" t="s">
        <v>1482</v>
      </c>
      <c r="B29" s="426" t="s">
        <v>204</v>
      </c>
      <c r="C29" s="279">
        <f>SUM(6DOCHODY!E347,6DOCHODY!E570)</f>
        <v>73900</v>
      </c>
      <c r="D29" s="279">
        <f>SUM(6DOCHODY!F347,6DOCHODY!F570)</f>
        <v>74461</v>
      </c>
      <c r="E29" s="428">
        <f t="shared" si="2"/>
        <v>100.75913396481732</v>
      </c>
      <c r="F29" s="279">
        <f>SUM(9W!D433,9W!D809)</f>
        <v>6200893</v>
      </c>
      <c r="G29" s="279">
        <f>SUM(9W!E433,9W!E809)</f>
        <v>3067457.51</v>
      </c>
      <c r="H29" s="281">
        <f t="shared" si="1"/>
        <v>49.46799614184602</v>
      </c>
    </row>
    <row r="30" spans="1:9" ht="27.75" customHeight="1">
      <c r="A30" s="368" t="s">
        <v>53</v>
      </c>
      <c r="B30" s="429" t="s">
        <v>189</v>
      </c>
      <c r="C30" s="279">
        <f>SUM(6DOCHODY!E351,6DOCHODY!E585)</f>
        <v>12706238</v>
      </c>
      <c r="D30" s="279">
        <f>SUM(6DOCHODY!F351,6DOCHODY!F585)</f>
        <v>2116626</v>
      </c>
      <c r="E30" s="428">
        <f t="shared" si="2"/>
        <v>16.658164281197944</v>
      </c>
      <c r="F30" s="279">
        <f>SUM(9W!D468,9W!D856)</f>
        <v>27233625</v>
      </c>
      <c r="G30" s="279">
        <f>SUM(9W!E468,9W!E856)</f>
        <v>8230216.93</v>
      </c>
      <c r="H30" s="281">
        <f t="shared" si="1"/>
        <v>30.220791135957846</v>
      </c>
      <c r="I30" s="410"/>
    </row>
    <row r="31" spans="1:9" ht="26.25" customHeight="1">
      <c r="A31" s="368" t="s">
        <v>90</v>
      </c>
      <c r="B31" s="429" t="s">
        <v>190</v>
      </c>
      <c r="C31" s="279">
        <f>6DOCHODY!E385</f>
        <v>0</v>
      </c>
      <c r="D31" s="279">
        <f>6DOCHODY!F385</f>
        <v>127875.79</v>
      </c>
      <c r="E31" s="428" t="s">
        <v>144</v>
      </c>
      <c r="F31" s="279">
        <f>SUM(9W!D516)</f>
        <v>5694567</v>
      </c>
      <c r="G31" s="279">
        <f>SUM(9W!E516)</f>
        <v>3206497.7199999997</v>
      </c>
      <c r="H31" s="281">
        <f t="shared" si="1"/>
        <v>56.30801639527641</v>
      </c>
      <c r="I31" s="410"/>
    </row>
    <row r="32" spans="1:8" ht="19.5" customHeight="1" thickBot="1">
      <c r="A32" s="431" t="s">
        <v>91</v>
      </c>
      <c r="B32" s="432" t="s">
        <v>79</v>
      </c>
      <c r="C32" s="433">
        <f>SUM(6DOCHODY!E405)</f>
        <v>0</v>
      </c>
      <c r="D32" s="433">
        <f>SUM(6DOCHODY!F405)</f>
        <v>6872.07</v>
      </c>
      <c r="E32" s="434" t="s">
        <v>144</v>
      </c>
      <c r="F32" s="433">
        <f>SUM(9W!D550)</f>
        <v>8482640</v>
      </c>
      <c r="G32" s="433">
        <f>SUM(9W!E550)</f>
        <v>5592691.68</v>
      </c>
      <c r="H32" s="1381">
        <f t="shared" si="1"/>
        <v>65.93102713306234</v>
      </c>
    </row>
    <row r="33" spans="1:8" ht="3" customHeight="1">
      <c r="A33" s="435"/>
      <c r="B33" s="436"/>
      <c r="C33" s="437"/>
      <c r="D33" s="437"/>
      <c r="E33" s="438"/>
      <c r="F33" s="437"/>
      <c r="G33" s="437"/>
      <c r="H33" s="1382"/>
    </row>
    <row r="34" spans="1:8" s="1384" customFormat="1" ht="21" customHeight="1" thickBot="1">
      <c r="A34" s="439"/>
      <c r="B34" s="440" t="s">
        <v>205</v>
      </c>
      <c r="C34" s="441">
        <f>SUM(C9:C32)</f>
        <v>240704574.10000002</v>
      </c>
      <c r="D34" s="441">
        <f>SUM(D9:D32)</f>
        <v>103404097.16000001</v>
      </c>
      <c r="E34" s="442">
        <f>D34*100/C34</f>
        <v>42.95892487570306</v>
      </c>
      <c r="F34" s="441">
        <f>SUM(F9:F32)</f>
        <v>249647820.10000002</v>
      </c>
      <c r="G34" s="441">
        <f>SUM(G9:G32)</f>
        <v>107299392.18000004</v>
      </c>
      <c r="H34" s="1383">
        <f>G34*100/F34</f>
        <v>42.98030406875563</v>
      </c>
    </row>
    <row r="35" spans="1:8" s="570" customFormat="1" ht="13.5" customHeight="1" hidden="1">
      <c r="A35" s="443"/>
      <c r="B35" s="444" t="s">
        <v>184</v>
      </c>
      <c r="C35" s="445"/>
      <c r="D35" s="445"/>
      <c r="E35" s="446"/>
      <c r="F35" s="445"/>
      <c r="G35" s="445"/>
      <c r="H35" s="1385"/>
    </row>
    <row r="36" spans="1:10" ht="42" customHeight="1" hidden="1">
      <c r="A36" s="447"/>
      <c r="B36" s="408" t="s">
        <v>41</v>
      </c>
      <c r="C36" s="409">
        <v>240704574.1</v>
      </c>
      <c r="D36" s="409">
        <v>103404097.16</v>
      </c>
      <c r="E36" s="410"/>
      <c r="F36" s="1386">
        <v>249647820.1</v>
      </c>
      <c r="G36" s="1386">
        <v>107299392.18</v>
      </c>
      <c r="H36" s="448">
        <f>G36/F36*100</f>
        <v>42.98030406875562</v>
      </c>
      <c r="I36" s="1596"/>
      <c r="J36" s="1596"/>
    </row>
    <row r="37" spans="1:8" ht="12.75" hidden="1">
      <c r="A37" s="447"/>
      <c r="B37" s="408" t="s">
        <v>1323</v>
      </c>
      <c r="C37" s="410">
        <f>C34-C36</f>
        <v>0</v>
      </c>
      <c r="D37" s="410">
        <f>D34-D36</f>
        <v>0</v>
      </c>
      <c r="E37" s="411"/>
      <c r="F37" s="411">
        <f>F34-F36</f>
        <v>0</v>
      </c>
      <c r="G37" s="410">
        <f>G34-G36</f>
        <v>0</v>
      </c>
      <c r="H37" s="448"/>
    </row>
    <row r="38" spans="1:8" ht="12.75">
      <c r="A38" s="447"/>
      <c r="B38" s="408"/>
      <c r="C38" s="411"/>
      <c r="D38" s="411"/>
      <c r="E38" s="448"/>
      <c r="F38" s="411"/>
      <c r="G38" s="411"/>
      <c r="H38" s="448"/>
    </row>
    <row r="39" spans="1:8" ht="12.75">
      <c r="A39" s="447"/>
      <c r="B39" s="408"/>
      <c r="C39" s="411"/>
      <c r="D39" s="411"/>
      <c r="E39" s="448"/>
      <c r="F39" s="411"/>
      <c r="G39" s="411"/>
      <c r="H39" s="448"/>
    </row>
    <row r="40" spans="1:8" ht="12.75">
      <c r="A40" s="447"/>
      <c r="B40" s="408"/>
      <c r="C40" s="411"/>
      <c r="D40" s="411"/>
      <c r="E40" s="448"/>
      <c r="F40" s="411"/>
      <c r="G40" s="411"/>
      <c r="H40" s="448"/>
    </row>
    <row r="41" spans="1:8" ht="12.75">
      <c r="A41" s="447"/>
      <c r="B41" s="408"/>
      <c r="C41" s="411"/>
      <c r="D41" s="411"/>
      <c r="E41" s="448"/>
      <c r="F41" s="411"/>
      <c r="G41" s="411"/>
      <c r="H41" s="448"/>
    </row>
    <row r="42" spans="1:8" ht="12.75">
      <c r="A42" s="447"/>
      <c r="B42" s="408"/>
      <c r="C42" s="411"/>
      <c r="D42" s="411"/>
      <c r="E42" s="448"/>
      <c r="F42" s="411"/>
      <c r="G42" s="411"/>
      <c r="H42" s="448"/>
    </row>
    <row r="43" spans="1:8" ht="12.75">
      <c r="A43" s="447"/>
      <c r="B43" s="408"/>
      <c r="C43" s="411"/>
      <c r="D43" s="411"/>
      <c r="E43" s="448"/>
      <c r="F43" s="411"/>
      <c r="G43" s="411"/>
      <c r="H43" s="448"/>
    </row>
    <row r="44" spans="1:8" ht="12.75">
      <c r="A44" s="447"/>
      <c r="B44" s="408"/>
      <c r="C44" s="411"/>
      <c r="D44" s="411"/>
      <c r="E44" s="448"/>
      <c r="F44" s="411"/>
      <c r="G44" s="411"/>
      <c r="H44" s="448"/>
    </row>
    <row r="45" spans="1:8" ht="12.75">
      <c r="A45" s="447"/>
      <c r="C45" s="411"/>
      <c r="D45" s="411"/>
      <c r="E45" s="448"/>
      <c r="F45" s="411"/>
      <c r="G45" s="411"/>
      <c r="H45" s="448"/>
    </row>
    <row r="46" spans="1:8" ht="12.75">
      <c r="A46" s="447"/>
      <c r="C46" s="411"/>
      <c r="D46" s="411"/>
      <c r="E46" s="448"/>
      <c r="F46" s="411"/>
      <c r="G46" s="411"/>
      <c r="H46" s="448"/>
    </row>
    <row r="47" spans="1:8" ht="12.75">
      <c r="A47" s="447"/>
      <c r="E47" s="448"/>
      <c r="F47" s="411"/>
      <c r="G47" s="411"/>
      <c r="H47" s="448"/>
    </row>
    <row r="48" spans="1:8" ht="12.75">
      <c r="A48" s="447"/>
      <c r="E48" s="448"/>
      <c r="F48" s="411"/>
      <c r="G48" s="411"/>
      <c r="H48" s="448"/>
    </row>
    <row r="49" spans="1:8" ht="12.75">
      <c r="A49" s="447"/>
      <c r="E49" s="448"/>
      <c r="F49" s="411"/>
      <c r="G49" s="411"/>
      <c r="H49" s="448"/>
    </row>
    <row r="50" spans="1:8" ht="12.75">
      <c r="A50" s="447"/>
      <c r="E50" s="448"/>
      <c r="F50" s="411"/>
      <c r="G50" s="411"/>
      <c r="H50" s="448"/>
    </row>
    <row r="51" spans="1:8" ht="12.75">
      <c r="A51" s="447"/>
      <c r="E51" s="448"/>
      <c r="F51" s="411"/>
      <c r="G51" s="411"/>
      <c r="H51" s="448"/>
    </row>
    <row r="52" spans="1:8" ht="12.75">
      <c r="A52" s="447"/>
      <c r="E52" s="448"/>
      <c r="F52" s="411"/>
      <c r="G52" s="411"/>
      <c r="H52" s="448"/>
    </row>
    <row r="53" spans="1:8" ht="12.75">
      <c r="A53" s="447"/>
      <c r="E53" s="448"/>
      <c r="F53" s="411"/>
      <c r="G53" s="411"/>
      <c r="H53" s="448"/>
    </row>
    <row r="54" spans="1:8" ht="12.75">
      <c r="A54" s="447"/>
      <c r="E54" s="448"/>
      <c r="F54" s="411"/>
      <c r="G54" s="411"/>
      <c r="H54" s="448"/>
    </row>
    <row r="55" spans="1:8" ht="12.75">
      <c r="A55" s="447"/>
      <c r="E55" s="448"/>
      <c r="F55" s="411"/>
      <c r="G55" s="411"/>
      <c r="H55" s="448"/>
    </row>
    <row r="56" spans="1:8" ht="12.75">
      <c r="A56" s="447"/>
      <c r="E56" s="448"/>
      <c r="F56" s="411"/>
      <c r="G56" s="411"/>
      <c r="H56" s="448"/>
    </row>
    <row r="57" spans="1:8" ht="12.75">
      <c r="A57" s="447"/>
      <c r="E57" s="448"/>
      <c r="F57" s="411"/>
      <c r="G57" s="411"/>
      <c r="H57" s="448"/>
    </row>
    <row r="58" spans="1:8" ht="12.75">
      <c r="A58" s="447"/>
      <c r="E58" s="448"/>
      <c r="F58" s="411"/>
      <c r="G58" s="411"/>
      <c r="H58" s="448"/>
    </row>
    <row r="59" spans="1:8" ht="12.75">
      <c r="A59" s="447"/>
      <c r="E59" s="448"/>
      <c r="F59" s="411"/>
      <c r="G59" s="411"/>
      <c r="H59" s="448"/>
    </row>
    <row r="60" spans="1:8" ht="12.75">
      <c r="A60" s="447"/>
      <c r="E60" s="448"/>
      <c r="F60" s="411"/>
      <c r="G60" s="411"/>
      <c r="H60" s="448"/>
    </row>
    <row r="61" spans="1:8" ht="12.75">
      <c r="A61" s="447"/>
      <c r="E61" s="448"/>
      <c r="F61" s="411"/>
      <c r="G61" s="411"/>
      <c r="H61" s="448"/>
    </row>
    <row r="62" spans="1:8" ht="12.75">
      <c r="A62" s="447"/>
      <c r="E62" s="448"/>
      <c r="F62" s="411"/>
      <c r="G62" s="411"/>
      <c r="H62" s="448"/>
    </row>
    <row r="63" spans="1:8" ht="12.75">
      <c r="A63" s="447"/>
      <c r="E63" s="448"/>
      <c r="F63" s="411"/>
      <c r="G63" s="411"/>
      <c r="H63" s="448"/>
    </row>
    <row r="64" spans="1:8" ht="12.75">
      <c r="A64" s="447"/>
      <c r="E64" s="448"/>
      <c r="F64" s="411"/>
      <c r="G64" s="411"/>
      <c r="H64" s="448"/>
    </row>
    <row r="65" spans="1:8" ht="12.75">
      <c r="A65" s="447"/>
      <c r="E65" s="448"/>
      <c r="F65" s="411"/>
      <c r="G65" s="411"/>
      <c r="H65" s="448"/>
    </row>
    <row r="66" spans="1:8" ht="12.75">
      <c r="A66" s="447"/>
      <c r="E66" s="448"/>
      <c r="F66" s="411"/>
      <c r="G66" s="411"/>
      <c r="H66" s="448"/>
    </row>
    <row r="67" spans="1:8" ht="12.75">
      <c r="A67" s="447"/>
      <c r="E67" s="448"/>
      <c r="F67" s="411"/>
      <c r="G67" s="411"/>
      <c r="H67" s="448"/>
    </row>
    <row r="68" spans="1:8" ht="12.75">
      <c r="A68" s="447"/>
      <c r="E68" s="448"/>
      <c r="F68" s="411"/>
      <c r="G68" s="411"/>
      <c r="H68" s="448"/>
    </row>
    <row r="69" spans="1:8" ht="12.75">
      <c r="A69" s="447"/>
      <c r="E69" s="448"/>
      <c r="F69" s="411"/>
      <c r="G69" s="411"/>
      <c r="H69" s="448"/>
    </row>
    <row r="70" spans="1:8" ht="12.75">
      <c r="A70" s="447"/>
      <c r="E70" s="448"/>
      <c r="F70" s="411"/>
      <c r="G70" s="411"/>
      <c r="H70" s="448"/>
    </row>
    <row r="71" spans="1:8" ht="12.75">
      <c r="A71" s="447"/>
      <c r="E71" s="448"/>
      <c r="F71" s="411"/>
      <c r="G71" s="411"/>
      <c r="H71" s="448"/>
    </row>
    <row r="72" spans="1:8" ht="12.75">
      <c r="A72" s="447"/>
      <c r="E72" s="448"/>
      <c r="F72" s="411"/>
      <c r="G72" s="411"/>
      <c r="H72" s="448"/>
    </row>
    <row r="73" spans="1:8" ht="12.75">
      <c r="A73" s="447"/>
      <c r="E73" s="448"/>
      <c r="F73" s="411"/>
      <c r="G73" s="411"/>
      <c r="H73" s="448"/>
    </row>
    <row r="74" spans="1:8" ht="12.75">
      <c r="A74" s="447"/>
      <c r="E74" s="448"/>
      <c r="F74" s="411"/>
      <c r="G74" s="411"/>
      <c r="H74" s="448"/>
    </row>
    <row r="75" spans="1:8" ht="12.75">
      <c r="A75" s="447"/>
      <c r="E75" s="448"/>
      <c r="F75" s="411"/>
      <c r="G75" s="411"/>
      <c r="H75" s="448"/>
    </row>
    <row r="76" spans="1:8" ht="12.75">
      <c r="A76" s="447"/>
      <c r="E76" s="448"/>
      <c r="F76" s="411"/>
      <c r="G76" s="411"/>
      <c r="H76" s="448"/>
    </row>
    <row r="77" spans="1:8" ht="12.75">
      <c r="A77" s="447"/>
      <c r="E77" s="448"/>
      <c r="F77" s="411"/>
      <c r="G77" s="411"/>
      <c r="H77" s="448"/>
    </row>
    <row r="78" spans="1:8" ht="12.75">
      <c r="A78" s="447"/>
      <c r="E78" s="448"/>
      <c r="F78" s="411"/>
      <c r="G78" s="411"/>
      <c r="H78" s="448"/>
    </row>
    <row r="79" spans="1:8" ht="12.75">
      <c r="A79" s="447"/>
      <c r="E79" s="448"/>
      <c r="F79" s="411"/>
      <c r="G79" s="411"/>
      <c r="H79" s="448"/>
    </row>
    <row r="80" spans="1:8" ht="12.75">
      <c r="A80" s="447"/>
      <c r="E80" s="448"/>
      <c r="F80" s="411"/>
      <c r="G80" s="411"/>
      <c r="H80" s="448"/>
    </row>
    <row r="81" spans="1:8" ht="12.75">
      <c r="A81" s="447"/>
      <c r="E81" s="448"/>
      <c r="F81" s="411"/>
      <c r="G81" s="411"/>
      <c r="H81" s="448"/>
    </row>
    <row r="82" spans="1:8" ht="12.75">
      <c r="A82" s="447"/>
      <c r="E82" s="448"/>
      <c r="H82" s="448"/>
    </row>
    <row r="83" spans="1:8" ht="12.75">
      <c r="A83" s="447"/>
      <c r="E83" s="448"/>
      <c r="H83" s="448"/>
    </row>
    <row r="84" spans="1:8" ht="12.75">
      <c r="A84" s="447"/>
      <c r="E84" s="448"/>
      <c r="H84" s="448"/>
    </row>
    <row r="85" spans="1:8" ht="12.75">
      <c r="A85" s="447"/>
      <c r="E85" s="448"/>
      <c r="H85" s="448"/>
    </row>
    <row r="86" spans="1:8" ht="12.75">
      <c r="A86" s="447"/>
      <c r="E86" s="448"/>
      <c r="H86" s="448"/>
    </row>
    <row r="87" spans="1:8" ht="12.75">
      <c r="A87" s="447"/>
      <c r="E87" s="448"/>
      <c r="H87" s="448"/>
    </row>
    <row r="88" spans="1:8" ht="12.75">
      <c r="A88" s="447"/>
      <c r="E88" s="448"/>
      <c r="H88" s="448"/>
    </row>
    <row r="89" spans="1:8" ht="12.75">
      <c r="A89" s="447"/>
      <c r="E89" s="448"/>
      <c r="H89" s="448"/>
    </row>
    <row r="90" spans="5:8" ht="12.75">
      <c r="E90" s="448"/>
      <c r="H90" s="448"/>
    </row>
    <row r="91" spans="5:8" ht="12.75">
      <c r="E91" s="448"/>
      <c r="H91" s="448"/>
    </row>
    <row r="92" spans="5:8" ht="12.75">
      <c r="E92" s="448"/>
      <c r="H92" s="448"/>
    </row>
    <row r="93" spans="5:8" ht="12.75">
      <c r="E93" s="448"/>
      <c r="H93" s="448"/>
    </row>
    <row r="94" spans="5:8" ht="12.75">
      <c r="E94" s="448"/>
      <c r="H94" s="448"/>
    </row>
    <row r="95" spans="5:8" ht="12.75">
      <c r="E95" s="448"/>
      <c r="H95" s="448"/>
    </row>
    <row r="96" spans="5:8" ht="12.75">
      <c r="E96" s="448"/>
      <c r="H96" s="448"/>
    </row>
    <row r="97" spans="5:8" ht="12.75">
      <c r="E97" s="448"/>
      <c r="H97" s="448"/>
    </row>
    <row r="98" spans="5:8" ht="12.75">
      <c r="E98" s="448"/>
      <c r="H98" s="448"/>
    </row>
    <row r="99" spans="5:8" ht="12.75">
      <c r="E99" s="448"/>
      <c r="H99" s="448"/>
    </row>
    <row r="100" spans="5:8" ht="12.75">
      <c r="E100" s="448"/>
      <c r="H100" s="448"/>
    </row>
    <row r="101" spans="5:8" ht="12.75">
      <c r="E101" s="448"/>
      <c r="H101" s="448"/>
    </row>
    <row r="102" spans="5:8" ht="12.75">
      <c r="E102" s="448"/>
      <c r="H102" s="448"/>
    </row>
    <row r="103" spans="5:8" ht="12.75">
      <c r="E103" s="448"/>
      <c r="H103" s="448"/>
    </row>
    <row r="104" spans="5:8" ht="12.75">
      <c r="E104" s="448"/>
      <c r="H104" s="448"/>
    </row>
    <row r="105" spans="5:8" ht="12.75">
      <c r="E105" s="448"/>
      <c r="H105" s="448"/>
    </row>
    <row r="106" spans="5:8" ht="12.75">
      <c r="E106" s="448"/>
      <c r="H106" s="448"/>
    </row>
    <row r="107" spans="5:8" ht="12.75">
      <c r="E107" s="448"/>
      <c r="H107" s="448"/>
    </row>
    <row r="108" spans="5:8" ht="12.75">
      <c r="E108" s="448"/>
      <c r="H108" s="448"/>
    </row>
    <row r="109" spans="5:8" ht="12.75">
      <c r="E109" s="448"/>
      <c r="H109" s="448"/>
    </row>
    <row r="110" spans="5:8" ht="12.75">
      <c r="E110" s="448"/>
      <c r="H110" s="448"/>
    </row>
    <row r="111" spans="5:8" ht="12.75">
      <c r="E111" s="448"/>
      <c r="H111" s="448"/>
    </row>
    <row r="112" spans="5:8" ht="12.75">
      <c r="E112" s="448"/>
      <c r="H112" s="448"/>
    </row>
    <row r="113" spans="5:8" ht="12.75">
      <c r="E113" s="448"/>
      <c r="H113" s="448"/>
    </row>
    <row r="114" spans="5:8" ht="12.75">
      <c r="E114" s="448"/>
      <c r="H114" s="448"/>
    </row>
    <row r="115" spans="5:8" ht="12.75">
      <c r="E115" s="448"/>
      <c r="H115" s="448"/>
    </row>
    <row r="116" spans="5:8" ht="12.75">
      <c r="E116" s="448"/>
      <c r="H116" s="448"/>
    </row>
    <row r="117" spans="5:8" ht="12.75">
      <c r="E117" s="448"/>
      <c r="H117" s="448"/>
    </row>
    <row r="118" spans="5:8" ht="12.75">
      <c r="E118" s="448"/>
      <c r="H118" s="448"/>
    </row>
    <row r="119" spans="5:8" ht="12.75">
      <c r="E119" s="448"/>
      <c r="H119" s="448"/>
    </row>
    <row r="120" spans="5:8" ht="12.75">
      <c r="E120" s="448"/>
      <c r="H120" s="448"/>
    </row>
    <row r="121" spans="5:8" ht="12.75">
      <c r="E121" s="448"/>
      <c r="H121" s="448"/>
    </row>
    <row r="122" spans="5:8" ht="12.75">
      <c r="E122" s="448"/>
      <c r="H122" s="448"/>
    </row>
    <row r="123" spans="5:8" ht="12.75">
      <c r="E123" s="448"/>
      <c r="H123" s="448"/>
    </row>
    <row r="124" spans="5:8" ht="12.75">
      <c r="E124" s="448"/>
      <c r="H124" s="448"/>
    </row>
    <row r="125" spans="5:8" ht="12.75">
      <c r="E125" s="448"/>
      <c r="H125" s="448"/>
    </row>
    <row r="126" spans="5:8" ht="12.75">
      <c r="E126" s="448"/>
      <c r="H126" s="448"/>
    </row>
    <row r="127" spans="5:8" ht="12.75">
      <c r="E127" s="448"/>
      <c r="H127" s="448"/>
    </row>
    <row r="128" spans="5:8" ht="12.75">
      <c r="E128" s="448"/>
      <c r="H128" s="448"/>
    </row>
    <row r="129" spans="5:8" ht="12.75">
      <c r="E129" s="448"/>
      <c r="H129" s="448"/>
    </row>
    <row r="130" spans="5:8" ht="12.75">
      <c r="E130" s="448"/>
      <c r="H130" s="448"/>
    </row>
    <row r="131" spans="5:8" ht="12.75">
      <c r="E131" s="448"/>
      <c r="H131" s="448"/>
    </row>
    <row r="132" spans="5:8" ht="12.75">
      <c r="E132" s="448"/>
      <c r="H132" s="448"/>
    </row>
    <row r="133" spans="5:8" ht="12.75">
      <c r="E133" s="448"/>
      <c r="H133" s="448"/>
    </row>
    <row r="134" spans="5:8" ht="12.75">
      <c r="E134" s="448"/>
      <c r="H134" s="448"/>
    </row>
    <row r="135" spans="5:8" ht="12.75">
      <c r="E135" s="448"/>
      <c r="H135" s="448"/>
    </row>
    <row r="136" spans="5:8" ht="12.75">
      <c r="E136" s="448"/>
      <c r="H136" s="448"/>
    </row>
    <row r="137" spans="5:8" ht="12.75">
      <c r="E137" s="448"/>
      <c r="H137" s="448"/>
    </row>
    <row r="138" spans="5:8" ht="12.75">
      <c r="E138" s="448"/>
      <c r="H138" s="448"/>
    </row>
    <row r="139" spans="5:8" ht="12.75">
      <c r="E139" s="448"/>
      <c r="H139" s="448"/>
    </row>
    <row r="140" spans="5:8" ht="12.75">
      <c r="E140" s="448"/>
      <c r="H140" s="448"/>
    </row>
    <row r="141" spans="5:8" ht="12.75">
      <c r="E141" s="448"/>
      <c r="H141" s="448"/>
    </row>
    <row r="142" spans="5:8" ht="12.75">
      <c r="E142" s="448"/>
      <c r="H142" s="448"/>
    </row>
    <row r="143" spans="5:8" ht="12.75">
      <c r="E143" s="448"/>
      <c r="H143" s="448"/>
    </row>
    <row r="144" spans="5:8" ht="12.75">
      <c r="E144" s="448"/>
      <c r="H144" s="448"/>
    </row>
    <row r="145" spans="5:8" ht="12.75">
      <c r="E145" s="448"/>
      <c r="H145" s="448"/>
    </row>
    <row r="146" spans="5:8" ht="12.75">
      <c r="E146" s="448"/>
      <c r="H146" s="448"/>
    </row>
    <row r="147" spans="5:8" ht="12.75">
      <c r="E147" s="448"/>
      <c r="H147" s="448"/>
    </row>
    <row r="148" spans="5:8" ht="12.75">
      <c r="E148" s="448"/>
      <c r="H148" s="448"/>
    </row>
    <row r="149" spans="5:8" ht="12.75">
      <c r="E149" s="448"/>
      <c r="H149" s="448"/>
    </row>
    <row r="150" spans="5:8" ht="12.75">
      <c r="E150" s="448"/>
      <c r="H150" s="448"/>
    </row>
    <row r="151" spans="5:8" ht="12.75">
      <c r="E151" s="448"/>
      <c r="H151" s="448"/>
    </row>
    <row r="152" spans="5:8" ht="12.75">
      <c r="E152" s="448"/>
      <c r="H152" s="448"/>
    </row>
    <row r="153" spans="5:8" ht="12.75">
      <c r="E153" s="448"/>
      <c r="H153" s="448"/>
    </row>
    <row r="154" spans="5:8" ht="12.75">
      <c r="E154" s="448"/>
      <c r="H154" s="448"/>
    </row>
    <row r="155" spans="5:8" ht="12.75">
      <c r="E155" s="448"/>
      <c r="H155" s="448"/>
    </row>
    <row r="156" spans="5:8" ht="12.75">
      <c r="E156" s="448"/>
      <c r="H156" s="448"/>
    </row>
    <row r="157" spans="5:8" ht="12.75">
      <c r="E157" s="448"/>
      <c r="H157" s="448"/>
    </row>
    <row r="158" spans="5:8" ht="12.75">
      <c r="E158" s="448"/>
      <c r="H158" s="448"/>
    </row>
    <row r="159" spans="5:8" ht="12.75">
      <c r="E159" s="448"/>
      <c r="H159" s="448"/>
    </row>
    <row r="160" spans="5:8" ht="12.75">
      <c r="E160" s="448"/>
      <c r="H160" s="448"/>
    </row>
    <row r="161" spans="5:8" ht="12.75">
      <c r="E161" s="448"/>
      <c r="H161" s="448"/>
    </row>
    <row r="162" spans="5:8" ht="12.75">
      <c r="E162" s="448"/>
      <c r="H162" s="448"/>
    </row>
    <row r="163" spans="5:8" ht="12.75">
      <c r="E163" s="448"/>
      <c r="H163" s="448"/>
    </row>
    <row r="164" spans="5:8" ht="12.75">
      <c r="E164" s="448"/>
      <c r="H164" s="448"/>
    </row>
    <row r="165" spans="5:8" ht="12.75">
      <c r="E165" s="448"/>
      <c r="H165" s="448"/>
    </row>
    <row r="166" spans="5:8" ht="12.75">
      <c r="E166" s="448"/>
      <c r="H166" s="448"/>
    </row>
    <row r="167" spans="5:8" ht="12.75">
      <c r="E167" s="448"/>
      <c r="H167" s="448"/>
    </row>
    <row r="168" spans="5:8" ht="12.75">
      <c r="E168" s="448"/>
      <c r="H168" s="448"/>
    </row>
    <row r="169" spans="5:8" ht="12.75">
      <c r="E169" s="448"/>
      <c r="H169" s="448"/>
    </row>
    <row r="170" spans="5:8" ht="12.75">
      <c r="E170" s="448"/>
      <c r="H170" s="448"/>
    </row>
    <row r="171" spans="5:8" ht="12.75">
      <c r="E171" s="448"/>
      <c r="H171" s="448"/>
    </row>
    <row r="172" spans="5:8" ht="12.75">
      <c r="E172" s="448"/>
      <c r="H172" s="448"/>
    </row>
    <row r="173" spans="5:8" ht="12.75">
      <c r="E173" s="448"/>
      <c r="H173" s="448"/>
    </row>
    <row r="174" spans="5:8" ht="12.75">
      <c r="E174" s="448"/>
      <c r="H174" s="448"/>
    </row>
    <row r="175" spans="5:8" ht="12.75">
      <c r="E175" s="448"/>
      <c r="H175" s="448"/>
    </row>
    <row r="176" spans="5:8" ht="12.75">
      <c r="E176" s="448"/>
      <c r="H176" s="448"/>
    </row>
    <row r="177" spans="5:8" ht="12.75">
      <c r="E177" s="448"/>
      <c r="H177" s="448"/>
    </row>
    <row r="178" spans="5:8" ht="12.75">
      <c r="E178" s="448"/>
      <c r="H178" s="448"/>
    </row>
    <row r="179" spans="5:8" ht="12.75">
      <c r="E179" s="448"/>
      <c r="H179" s="448"/>
    </row>
    <row r="180" spans="5:8" ht="12.75">
      <c r="E180" s="448"/>
      <c r="H180" s="448"/>
    </row>
    <row r="181" spans="5:8" ht="12.75">
      <c r="E181" s="448"/>
      <c r="H181" s="448"/>
    </row>
    <row r="182" spans="5:8" ht="12.75">
      <c r="E182" s="448"/>
      <c r="H182" s="448"/>
    </row>
    <row r="183" spans="5:8" ht="12.75">
      <c r="E183" s="448"/>
      <c r="H183" s="448"/>
    </row>
    <row r="184" spans="5:8" ht="12.75">
      <c r="E184" s="448"/>
      <c r="H184" s="448"/>
    </row>
    <row r="185" spans="5:8" ht="12.75">
      <c r="E185" s="448"/>
      <c r="H185" s="448"/>
    </row>
    <row r="186" spans="5:8" ht="12.75">
      <c r="E186" s="448"/>
      <c r="H186" s="448"/>
    </row>
    <row r="187" spans="5:8" ht="12.75">
      <c r="E187" s="448"/>
      <c r="H187" s="448"/>
    </row>
    <row r="188" spans="5:8" ht="12.75">
      <c r="E188" s="448"/>
      <c r="H188" s="448"/>
    </row>
    <row r="189" spans="5:8" ht="12.75">
      <c r="E189" s="448"/>
      <c r="H189" s="448"/>
    </row>
    <row r="190" spans="5:8" ht="12.75">
      <c r="E190" s="448"/>
      <c r="H190" s="448"/>
    </row>
    <row r="191" spans="5:8" ht="12.75">
      <c r="E191" s="448"/>
      <c r="H191" s="448"/>
    </row>
    <row r="192" spans="5:8" ht="12.75">
      <c r="E192" s="448"/>
      <c r="H192" s="448"/>
    </row>
    <row r="193" spans="5:8" ht="12.75">
      <c r="E193" s="448"/>
      <c r="H193" s="448"/>
    </row>
    <row r="194" spans="5:8" ht="12.75">
      <c r="E194" s="448"/>
      <c r="H194" s="448"/>
    </row>
    <row r="195" spans="5:8" ht="12.75">
      <c r="E195" s="448"/>
      <c r="H195" s="448"/>
    </row>
    <row r="196" spans="5:8" ht="12.75">
      <c r="E196" s="448"/>
      <c r="H196" s="448"/>
    </row>
    <row r="197" spans="5:8" ht="12.75">
      <c r="E197" s="448"/>
      <c r="H197" s="448"/>
    </row>
    <row r="198" spans="5:8" ht="12.75">
      <c r="E198" s="448"/>
      <c r="H198" s="448"/>
    </row>
    <row r="199" spans="5:8" ht="12.75">
      <c r="E199" s="448"/>
      <c r="H199" s="448"/>
    </row>
    <row r="200" ht="12.75">
      <c r="H200" s="448"/>
    </row>
  </sheetData>
  <sheetProtection password="CF53" sheet="1" formatRows="0" insertColumns="0" insertRows="0" insertHyperlinks="0" deleteColumns="0" deleteRows="0" sort="0" autoFilter="0" pivotTables="0"/>
  <mergeCells count="7">
    <mergeCell ref="I36:J36"/>
    <mergeCell ref="G1:H1"/>
    <mergeCell ref="A5:A6"/>
    <mergeCell ref="B5:B6"/>
    <mergeCell ref="C5:E5"/>
    <mergeCell ref="F5:H5"/>
    <mergeCell ref="A3:H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G26"/>
  <sheetViews>
    <sheetView showGridLines="0" view="pageBreakPreview" zoomScaleSheetLayoutView="100" zoomScalePageLayoutView="0" workbookViewId="0" topLeftCell="A1">
      <selection activeCell="A22" sqref="A22:IV26"/>
    </sheetView>
  </sheetViews>
  <sheetFormatPr defaultColWidth="9.00390625" defaultRowHeight="12.75"/>
  <cols>
    <col min="1" max="1" width="4.75390625" style="6" bestFit="1" customWidth="1"/>
    <col min="2" max="2" width="40.625" style="1" customWidth="1"/>
    <col min="3" max="3" width="11.25390625" style="1" customWidth="1"/>
    <col min="4" max="4" width="12.625" style="2" customWidth="1"/>
    <col min="5" max="5" width="12.125" style="2" customWidth="1"/>
    <col min="6" max="6" width="5.75390625" style="2" customWidth="1"/>
    <col min="7" max="7" width="12.00390625" style="1" hidden="1" customWidth="1"/>
    <col min="8" max="16384" width="9.125" style="1" customWidth="1"/>
  </cols>
  <sheetData>
    <row r="1" spans="1:6" s="174" customFormat="1" ht="12.75">
      <c r="A1" s="191"/>
      <c r="D1" s="192"/>
      <c r="E1" s="1608" t="s">
        <v>244</v>
      </c>
      <c r="F1" s="1608"/>
    </row>
    <row r="2" spans="1:6" s="174" customFormat="1" ht="23.25" customHeight="1">
      <c r="A2" s="191"/>
      <c r="D2" s="192"/>
      <c r="E2" s="193"/>
      <c r="F2" s="193"/>
    </row>
    <row r="3" spans="1:6" s="174" customFormat="1" ht="12" customHeight="1">
      <c r="A3" s="1587" t="s">
        <v>1431</v>
      </c>
      <c r="B3" s="1587"/>
      <c r="C3" s="1587"/>
      <c r="D3" s="1587"/>
      <c r="E3" s="1587"/>
      <c r="F3" s="1587"/>
    </row>
    <row r="4" spans="1:6" s="174" customFormat="1" ht="4.5" customHeight="1">
      <c r="A4" s="173"/>
      <c r="B4" s="173"/>
      <c r="C4" s="173"/>
      <c r="D4" s="176"/>
      <c r="E4" s="176"/>
      <c r="F4" s="176"/>
    </row>
    <row r="5" spans="1:6" s="174" customFormat="1" ht="12" customHeight="1" thickBot="1">
      <c r="A5" s="191"/>
      <c r="D5" s="192"/>
      <c r="E5" s="192"/>
      <c r="F5" s="192" t="s">
        <v>1351</v>
      </c>
    </row>
    <row r="6" spans="1:6" s="174" customFormat="1" ht="31.5" customHeight="1">
      <c r="A6" s="194" t="s">
        <v>168</v>
      </c>
      <c r="B6" s="195" t="s">
        <v>1353</v>
      </c>
      <c r="C6" s="196" t="s">
        <v>86</v>
      </c>
      <c r="D6" s="196" t="s">
        <v>1354</v>
      </c>
      <c r="E6" s="195" t="s">
        <v>1355</v>
      </c>
      <c r="F6" s="197" t="s">
        <v>1356</v>
      </c>
    </row>
    <row r="7" spans="1:6" s="185" customFormat="1" ht="12" customHeight="1" thickBot="1">
      <c r="A7" s="181">
        <v>1</v>
      </c>
      <c r="B7" s="182">
        <v>2</v>
      </c>
      <c r="C7" s="182">
        <v>3</v>
      </c>
      <c r="D7" s="182">
        <v>4</v>
      </c>
      <c r="E7" s="182">
        <v>5</v>
      </c>
      <c r="F7" s="184">
        <v>6</v>
      </c>
    </row>
    <row r="8" spans="1:6" s="174" customFormat="1" ht="24.75" customHeight="1">
      <c r="A8" s="198" t="s">
        <v>506</v>
      </c>
      <c r="B8" s="1606" t="s">
        <v>1432</v>
      </c>
      <c r="C8" s="1607"/>
      <c r="D8" s="199">
        <f>SUM(D9,D10,D11,D12,D13)</f>
        <v>14743246</v>
      </c>
      <c r="E8" s="199">
        <f>SUM(E9,E10,E11,E12,E13)</f>
        <v>11383899.05</v>
      </c>
      <c r="F8" s="200">
        <f aca="true" t="shared" si="0" ref="F8:F20">E8/D8*100</f>
        <v>77.21433292234289</v>
      </c>
    </row>
    <row r="9" spans="1:7" s="174" customFormat="1" ht="46.5" customHeight="1">
      <c r="A9" s="201" t="s">
        <v>171</v>
      </c>
      <c r="B9" s="202" t="s">
        <v>754</v>
      </c>
      <c r="C9" s="203" t="s">
        <v>753</v>
      </c>
      <c r="D9" s="204">
        <v>7500</v>
      </c>
      <c r="E9" s="204">
        <v>0</v>
      </c>
      <c r="F9" s="205">
        <v>0</v>
      </c>
      <c r="G9" s="206">
        <f aca="true" t="shared" si="1" ref="G9:G18">E9-D9</f>
        <v>-7500</v>
      </c>
    </row>
    <row r="10" spans="1:7" s="174" customFormat="1" ht="50.25" customHeight="1" hidden="1">
      <c r="A10" s="201" t="s">
        <v>172</v>
      </c>
      <c r="B10" s="202" t="s">
        <v>940</v>
      </c>
      <c r="C10" s="203" t="s">
        <v>939</v>
      </c>
      <c r="D10" s="204">
        <v>0</v>
      </c>
      <c r="E10" s="204">
        <v>0</v>
      </c>
      <c r="F10" s="205">
        <v>0</v>
      </c>
      <c r="G10" s="206">
        <f t="shared" si="1"/>
        <v>0</v>
      </c>
    </row>
    <row r="11" spans="1:7" s="174" customFormat="1" ht="34.5" customHeight="1">
      <c r="A11" s="201" t="s">
        <v>172</v>
      </c>
      <c r="B11" s="207" t="s">
        <v>485</v>
      </c>
      <c r="C11" s="208" t="s">
        <v>484</v>
      </c>
      <c r="D11" s="209">
        <v>11383899</v>
      </c>
      <c r="E11" s="209">
        <v>11383899.05</v>
      </c>
      <c r="F11" s="210">
        <f t="shared" si="0"/>
        <v>100.00000043921685</v>
      </c>
      <c r="G11" s="206">
        <f t="shared" si="1"/>
        <v>0.05000000074505806</v>
      </c>
    </row>
    <row r="12" spans="1:7" s="174" customFormat="1" ht="34.5" customHeight="1">
      <c r="A12" s="211" t="s">
        <v>249</v>
      </c>
      <c r="B12" s="212" t="s">
        <v>755</v>
      </c>
      <c r="C12" s="208" t="s">
        <v>756</v>
      </c>
      <c r="D12" s="213">
        <v>35800</v>
      </c>
      <c r="E12" s="213">
        <v>0</v>
      </c>
      <c r="F12" s="210">
        <f t="shared" si="0"/>
        <v>0</v>
      </c>
      <c r="G12" s="206"/>
    </row>
    <row r="13" spans="1:7" s="174" customFormat="1" ht="34.5" customHeight="1" thickBot="1">
      <c r="A13" s="211" t="s">
        <v>256</v>
      </c>
      <c r="B13" s="212" t="s">
        <v>1007</v>
      </c>
      <c r="C13" s="214" t="s">
        <v>1008</v>
      </c>
      <c r="D13" s="213">
        <v>3316047</v>
      </c>
      <c r="E13" s="213">
        <v>0</v>
      </c>
      <c r="F13" s="210" t="s">
        <v>144</v>
      </c>
      <c r="G13" s="206"/>
    </row>
    <row r="14" spans="1:7" s="174" customFormat="1" ht="24.75" customHeight="1">
      <c r="A14" s="198" t="s">
        <v>507</v>
      </c>
      <c r="B14" s="1606" t="s">
        <v>1433</v>
      </c>
      <c r="C14" s="1607"/>
      <c r="D14" s="199">
        <f>SUM(D16,D17,D20)</f>
        <v>5800000</v>
      </c>
      <c r="E14" s="199">
        <f>SUM(E16,E17,E20)</f>
        <v>1400000</v>
      </c>
      <c r="F14" s="200">
        <f t="shared" si="0"/>
        <v>24.137931034482758</v>
      </c>
      <c r="G14" s="206">
        <f t="shared" si="1"/>
        <v>-4400000</v>
      </c>
    </row>
    <row r="15" spans="1:7" s="174" customFormat="1" ht="54.75" customHeight="1" hidden="1">
      <c r="A15" s="215" t="s">
        <v>171</v>
      </c>
      <c r="B15" s="207" t="s">
        <v>328</v>
      </c>
      <c r="C15" s="208" t="s">
        <v>327</v>
      </c>
      <c r="D15" s="209"/>
      <c r="E15" s="209"/>
      <c r="F15" s="210" t="e">
        <f t="shared" si="0"/>
        <v>#DIV/0!</v>
      </c>
      <c r="G15" s="206">
        <f t="shared" si="1"/>
        <v>0</v>
      </c>
    </row>
    <row r="16" spans="1:7" s="174" customFormat="1" ht="33" customHeight="1">
      <c r="A16" s="215" t="s">
        <v>171</v>
      </c>
      <c r="B16" s="207" t="s">
        <v>1118</v>
      </c>
      <c r="C16" s="208" t="s">
        <v>88</v>
      </c>
      <c r="D16" s="209">
        <v>3000000</v>
      </c>
      <c r="E16" s="209">
        <v>0</v>
      </c>
      <c r="F16" s="210">
        <f t="shared" si="0"/>
        <v>0</v>
      </c>
      <c r="G16" s="206">
        <f t="shared" si="1"/>
        <v>-3000000</v>
      </c>
    </row>
    <row r="17" spans="1:7" s="174" customFormat="1" ht="30.75" customHeight="1">
      <c r="A17" s="215" t="s">
        <v>172</v>
      </c>
      <c r="B17" s="207" t="s">
        <v>757</v>
      </c>
      <c r="C17" s="208" t="s">
        <v>87</v>
      </c>
      <c r="D17" s="209">
        <f>SUM(D18)</f>
        <v>2800000</v>
      </c>
      <c r="E17" s="209">
        <f>SUM(E18)</f>
        <v>1400000</v>
      </c>
      <c r="F17" s="210">
        <f t="shared" si="0"/>
        <v>50</v>
      </c>
      <c r="G17" s="206">
        <f t="shared" si="1"/>
        <v>-1400000</v>
      </c>
    </row>
    <row r="18" spans="1:7" s="221" customFormat="1" ht="19.5" customHeight="1">
      <c r="A18" s="216" t="s">
        <v>1070</v>
      </c>
      <c r="B18" s="217" t="s">
        <v>40</v>
      </c>
      <c r="C18" s="218" t="s">
        <v>87</v>
      </c>
      <c r="D18" s="219">
        <v>2800000</v>
      </c>
      <c r="E18" s="219">
        <v>1400000</v>
      </c>
      <c r="F18" s="220">
        <f t="shared" si="0"/>
        <v>50</v>
      </c>
      <c r="G18" s="206">
        <f t="shared" si="1"/>
        <v>-1400000</v>
      </c>
    </row>
    <row r="19" spans="1:7" s="22" customFormat="1" ht="40.5" customHeight="1" hidden="1">
      <c r="A19" s="39" t="s">
        <v>1071</v>
      </c>
      <c r="B19" s="40" t="s">
        <v>1073</v>
      </c>
      <c r="C19" s="43" t="s">
        <v>1072</v>
      </c>
      <c r="D19" s="41"/>
      <c r="E19" s="41"/>
      <c r="F19" s="42" t="e">
        <f t="shared" si="0"/>
        <v>#DIV/0!</v>
      </c>
      <c r="G19" s="28"/>
    </row>
    <row r="20" spans="1:7" s="233" customFormat="1" ht="19.5" customHeight="1" hidden="1" thickBot="1">
      <c r="A20" s="227" t="s">
        <v>249</v>
      </c>
      <c r="B20" s="228" t="s">
        <v>1074</v>
      </c>
      <c r="C20" s="229" t="s">
        <v>1075</v>
      </c>
      <c r="D20" s="230">
        <v>0</v>
      </c>
      <c r="E20" s="230">
        <v>0</v>
      </c>
      <c r="F20" s="231" t="e">
        <f t="shared" si="0"/>
        <v>#DIV/0!</v>
      </c>
      <c r="G20" s="232"/>
    </row>
    <row r="22" spans="1:6" s="206" customFormat="1" ht="12.75" hidden="1">
      <c r="A22" s="222"/>
      <c r="B22" s="206" t="s">
        <v>360</v>
      </c>
      <c r="D22" s="223">
        <v>14743246</v>
      </c>
      <c r="E22" s="223">
        <v>11383899.05</v>
      </c>
      <c r="F22" s="223"/>
    </row>
    <row r="23" spans="1:6" s="225" customFormat="1" ht="12.75" hidden="1">
      <c r="A23" s="224"/>
      <c r="B23" s="225" t="s">
        <v>625</v>
      </c>
      <c r="D23" s="226">
        <f>D8-D22</f>
        <v>0</v>
      </c>
      <c r="E23" s="226">
        <f>E8-E22</f>
        <v>0</v>
      </c>
      <c r="F23" s="226"/>
    </row>
    <row r="24" spans="1:6" s="206" customFormat="1" ht="12.75" hidden="1">
      <c r="A24" s="222"/>
      <c r="D24" s="223"/>
      <c r="E24" s="223"/>
      <c r="F24" s="223"/>
    </row>
    <row r="25" spans="1:6" s="206" customFormat="1" ht="12.75" hidden="1">
      <c r="A25" s="222"/>
      <c r="B25" s="206" t="s">
        <v>1379</v>
      </c>
      <c r="D25" s="223">
        <v>5800000</v>
      </c>
      <c r="E25" s="223">
        <v>1400000</v>
      </c>
      <c r="F25" s="223"/>
    </row>
    <row r="26" spans="1:6" s="225" customFormat="1" ht="12.75" hidden="1">
      <c r="A26" s="224"/>
      <c r="B26" s="225" t="s">
        <v>625</v>
      </c>
      <c r="D26" s="226">
        <f>D14-D25</f>
        <v>0</v>
      </c>
      <c r="E26" s="226">
        <f>E14-E25</f>
        <v>0</v>
      </c>
      <c r="F26" s="226"/>
    </row>
  </sheetData>
  <sheetProtection password="CF53" sheet="1" formatRows="0" insertColumns="0" insertRows="0" insertHyperlinks="0" deleteColumns="0" deleteRows="0" sort="0" autoFilter="0" pivotTables="0"/>
  <mergeCells count="4">
    <mergeCell ref="A3:F3"/>
    <mergeCell ref="B8:C8"/>
    <mergeCell ref="E1:F1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741"/>
  <sheetViews>
    <sheetView view="pageBreakPreview" zoomScaleSheetLayoutView="100" zoomScalePageLayoutView="0" workbookViewId="0" topLeftCell="A1">
      <pane ySplit="6" topLeftCell="A129" activePane="bottomLeft" state="frozen"/>
      <selection pane="topLeft" activeCell="A1" sqref="A1"/>
      <selection pane="bottomLeft" activeCell="A593" sqref="A593:IV594"/>
    </sheetView>
  </sheetViews>
  <sheetFormatPr defaultColWidth="9.00390625" defaultRowHeight="12.75"/>
  <cols>
    <col min="1" max="1" width="5.625" style="406" customWidth="1"/>
    <col min="2" max="2" width="6.375" style="406" customWidth="1"/>
    <col min="3" max="3" width="5.125" style="406" customWidth="1"/>
    <col min="4" max="4" width="40.25390625" style="407" customWidth="1"/>
    <col min="5" max="5" width="13.375" style="278" customWidth="1"/>
    <col min="6" max="6" width="13.00390625" style="278" customWidth="1"/>
    <col min="7" max="7" width="6.375" style="386" customWidth="1"/>
    <col min="8" max="8" width="9.125" style="278" customWidth="1"/>
    <col min="9" max="9" width="29.875" style="278" customWidth="1"/>
    <col min="10" max="16384" width="9.125" style="278" customWidth="1"/>
  </cols>
  <sheetData>
    <row r="1" spans="1:7" s="174" customFormat="1" ht="12.75">
      <c r="A1" s="234"/>
      <c r="B1" s="234"/>
      <c r="C1" s="234"/>
      <c r="D1" s="235"/>
      <c r="E1" s="235"/>
      <c r="F1" s="1583" t="s">
        <v>1190</v>
      </c>
      <c r="G1" s="1583"/>
    </row>
    <row r="2" spans="1:7" s="174" customFormat="1" ht="17.25" customHeight="1">
      <c r="A2" s="234"/>
      <c r="B2" s="234"/>
      <c r="C2" s="234"/>
      <c r="E2" s="235"/>
      <c r="G2" s="236"/>
    </row>
    <row r="3" spans="1:7" s="175" customFormat="1" ht="16.5" customHeight="1">
      <c r="A3" s="1584" t="s">
        <v>129</v>
      </c>
      <c r="B3" s="1584"/>
      <c r="C3" s="1584"/>
      <c r="D3" s="1584"/>
      <c r="E3" s="1584"/>
      <c r="F3" s="1584"/>
      <c r="G3" s="1584"/>
    </row>
    <row r="4" spans="1:7" s="174" customFormat="1" ht="13.5" thickBot="1">
      <c r="A4" s="234"/>
      <c r="B4" s="234"/>
      <c r="C4" s="234"/>
      <c r="D4" s="235"/>
      <c r="G4" s="236"/>
    </row>
    <row r="5" spans="1:7" s="173" customFormat="1" ht="15" customHeight="1">
      <c r="A5" s="237" t="s">
        <v>97</v>
      </c>
      <c r="B5" s="238" t="s">
        <v>1352</v>
      </c>
      <c r="C5" s="238" t="s">
        <v>102</v>
      </c>
      <c r="D5" s="238" t="s">
        <v>1353</v>
      </c>
      <c r="E5" s="239" t="s">
        <v>1354</v>
      </c>
      <c r="F5" s="195" t="s">
        <v>1355</v>
      </c>
      <c r="G5" s="240" t="s">
        <v>1356</v>
      </c>
    </row>
    <row r="6" spans="1:7" s="244" customFormat="1" ht="13.5" customHeight="1" thickBot="1">
      <c r="A6" s="241">
        <v>1</v>
      </c>
      <c r="B6" s="242">
        <v>2</v>
      </c>
      <c r="C6" s="242">
        <v>3</v>
      </c>
      <c r="D6" s="242">
        <v>4</v>
      </c>
      <c r="E6" s="183">
        <v>5</v>
      </c>
      <c r="F6" s="182">
        <v>6</v>
      </c>
      <c r="G6" s="243">
        <v>7</v>
      </c>
    </row>
    <row r="7" spans="1:7" s="246" customFormat="1" ht="22.5" customHeight="1">
      <c r="A7" s="1617" t="s">
        <v>107</v>
      </c>
      <c r="B7" s="1618"/>
      <c r="C7" s="1618"/>
      <c r="D7" s="1619"/>
      <c r="E7" s="199">
        <f>SUM(E8,E11,E16,E19,E22,E25,E48,E66,E91,E102,E133,E140,E157,E197,E215,E249,E267,E326,E347,E351,E385,E405)</f>
        <v>176707474.11</v>
      </c>
      <c r="F7" s="199">
        <f>SUM(F8,F11,F16,F19,F22,F25,F48,F66,F91,F102,F133,F140,F157,F197,F215,F249,F267,F326,F347,F351,F385,F405)</f>
        <v>74211512.50999999</v>
      </c>
      <c r="G7" s="245">
        <f aca="true" t="shared" si="0" ref="G7:G14">F7/E7*100</f>
        <v>41.99681585839628</v>
      </c>
    </row>
    <row r="8" spans="1:7" s="252" customFormat="1" ht="16.5" customHeight="1">
      <c r="A8" s="247" t="s">
        <v>1357</v>
      </c>
      <c r="B8" s="248"/>
      <c r="C8" s="248"/>
      <c r="D8" s="249" t="s">
        <v>650</v>
      </c>
      <c r="E8" s="250">
        <f>SUM(E9)</f>
        <v>22321.11</v>
      </c>
      <c r="F8" s="250">
        <f>SUM(F9)</f>
        <v>22321.11</v>
      </c>
      <c r="G8" s="251">
        <f t="shared" si="0"/>
        <v>100</v>
      </c>
    </row>
    <row r="9" spans="1:7" s="258" customFormat="1" ht="19.5" customHeight="1">
      <c r="A9" s="253"/>
      <c r="B9" s="254" t="s">
        <v>655</v>
      </c>
      <c r="C9" s="254"/>
      <c r="D9" s="255" t="s">
        <v>1358</v>
      </c>
      <c r="E9" s="256">
        <f>SUM(E10)</f>
        <v>22321.11</v>
      </c>
      <c r="F9" s="256">
        <f>SUM(F10)</f>
        <v>22321.11</v>
      </c>
      <c r="G9" s="257">
        <f t="shared" si="0"/>
        <v>100</v>
      </c>
    </row>
    <row r="10" spans="1:7" s="265" customFormat="1" ht="55.5" customHeight="1">
      <c r="A10" s="259"/>
      <c r="B10" s="260"/>
      <c r="C10" s="261">
        <v>2010</v>
      </c>
      <c r="D10" s="262" t="s">
        <v>218</v>
      </c>
      <c r="E10" s="263">
        <v>22321.11</v>
      </c>
      <c r="F10" s="263">
        <v>22321.11</v>
      </c>
      <c r="G10" s="264">
        <f t="shared" si="0"/>
        <v>100</v>
      </c>
    </row>
    <row r="11" spans="1:7" s="274" customFormat="1" ht="18" customHeight="1">
      <c r="A11" s="247" t="s">
        <v>1359</v>
      </c>
      <c r="B11" s="271"/>
      <c r="C11" s="271"/>
      <c r="D11" s="272" t="s">
        <v>103</v>
      </c>
      <c r="E11" s="273">
        <f>SUM(E12)</f>
        <v>16700</v>
      </c>
      <c r="F11" s="273">
        <f>SUM(F12)</f>
        <v>12595.18</v>
      </c>
      <c r="G11" s="251">
        <f t="shared" si="0"/>
        <v>75.42023952095809</v>
      </c>
    </row>
    <row r="12" spans="1:7" ht="21" customHeight="1">
      <c r="A12" s="253"/>
      <c r="B12" s="275" t="s">
        <v>1360</v>
      </c>
      <c r="C12" s="275"/>
      <c r="D12" s="276" t="s">
        <v>1358</v>
      </c>
      <c r="E12" s="277">
        <f>SUM(E13,E14,E15)</f>
        <v>16700</v>
      </c>
      <c r="F12" s="277">
        <f>SUM(F13,F14,F15)</f>
        <v>12595.18</v>
      </c>
      <c r="G12" s="257">
        <f t="shared" si="0"/>
        <v>75.42023952095809</v>
      </c>
    </row>
    <row r="13" spans="1:7" s="269" customFormat="1" ht="21" customHeight="1">
      <c r="A13" s="259"/>
      <c r="B13" s="266"/>
      <c r="C13" s="266" t="s">
        <v>387</v>
      </c>
      <c r="D13" s="267" t="s">
        <v>106</v>
      </c>
      <c r="E13" s="268">
        <v>1700</v>
      </c>
      <c r="F13" s="268">
        <v>1702.3</v>
      </c>
      <c r="G13" s="264">
        <f t="shared" si="0"/>
        <v>100.13529411764705</v>
      </c>
    </row>
    <row r="14" spans="1:7" s="269" customFormat="1" ht="21" customHeight="1">
      <c r="A14" s="259"/>
      <c r="B14" s="266"/>
      <c r="C14" s="266" t="s">
        <v>369</v>
      </c>
      <c r="D14" s="270" t="s">
        <v>368</v>
      </c>
      <c r="E14" s="268">
        <v>15000</v>
      </c>
      <c r="F14" s="268">
        <v>10856.86</v>
      </c>
      <c r="G14" s="264">
        <f t="shared" si="0"/>
        <v>72.37906666666667</v>
      </c>
    </row>
    <row r="15" spans="1:7" s="269" customFormat="1" ht="18" customHeight="1">
      <c r="A15" s="259"/>
      <c r="B15" s="266"/>
      <c r="C15" s="266" t="s">
        <v>384</v>
      </c>
      <c r="D15" s="270" t="s">
        <v>110</v>
      </c>
      <c r="E15" s="268">
        <v>0</v>
      </c>
      <c r="F15" s="268">
        <v>36.02</v>
      </c>
      <c r="G15" s="264" t="s">
        <v>144</v>
      </c>
    </row>
    <row r="16" spans="1:7" s="274" customFormat="1" ht="29.25" customHeight="1" hidden="1">
      <c r="A16" s="247" t="s">
        <v>235</v>
      </c>
      <c r="B16" s="271"/>
      <c r="C16" s="271"/>
      <c r="D16" s="282" t="s">
        <v>325</v>
      </c>
      <c r="E16" s="273">
        <f>SUM(E17)</f>
        <v>0</v>
      </c>
      <c r="F16" s="273">
        <f>SUM(F17)</f>
        <v>0</v>
      </c>
      <c r="G16" s="251" t="s">
        <v>144</v>
      </c>
    </row>
    <row r="17" spans="1:7" ht="21" customHeight="1" hidden="1">
      <c r="A17" s="253"/>
      <c r="B17" s="275" t="s">
        <v>658</v>
      </c>
      <c r="C17" s="275"/>
      <c r="D17" s="276" t="s">
        <v>659</v>
      </c>
      <c r="E17" s="277">
        <f>SUM(E18,E22,E23)</f>
        <v>0</v>
      </c>
      <c r="F17" s="277">
        <f>SUM(F18,F22,F23)</f>
        <v>0</v>
      </c>
      <c r="G17" s="257" t="s">
        <v>144</v>
      </c>
    </row>
    <row r="18" spans="1:7" s="269" customFormat="1" ht="21" customHeight="1" hidden="1">
      <c r="A18" s="259"/>
      <c r="B18" s="266"/>
      <c r="C18" s="266" t="s">
        <v>385</v>
      </c>
      <c r="D18" s="267" t="s">
        <v>109</v>
      </c>
      <c r="E18" s="268">
        <v>0</v>
      </c>
      <c r="F18" s="268">
        <v>0</v>
      </c>
      <c r="G18" s="264" t="s">
        <v>144</v>
      </c>
    </row>
    <row r="19" spans="1:7" s="274" customFormat="1" ht="19.5" customHeight="1" hidden="1">
      <c r="A19" s="247" t="s">
        <v>1361</v>
      </c>
      <c r="B19" s="271"/>
      <c r="C19" s="271"/>
      <c r="D19" s="272" t="s">
        <v>660</v>
      </c>
      <c r="E19" s="273">
        <f>SUM(E20)</f>
        <v>0</v>
      </c>
      <c r="F19" s="273">
        <f>SUM(F20)</f>
        <v>0</v>
      </c>
      <c r="G19" s="251" t="s">
        <v>144</v>
      </c>
    </row>
    <row r="20" spans="1:7" ht="21.75" customHeight="1" hidden="1">
      <c r="A20" s="253"/>
      <c r="B20" s="275" t="s">
        <v>666</v>
      </c>
      <c r="C20" s="275"/>
      <c r="D20" s="276" t="s">
        <v>1358</v>
      </c>
      <c r="E20" s="279">
        <f>SUM(E21)</f>
        <v>0</v>
      </c>
      <c r="F20" s="279">
        <f>SUM(F21)</f>
        <v>0</v>
      </c>
      <c r="G20" s="281" t="s">
        <v>144</v>
      </c>
    </row>
    <row r="21" spans="1:7" s="269" customFormat="1" ht="29.25" customHeight="1" hidden="1">
      <c r="A21" s="259"/>
      <c r="B21" s="266"/>
      <c r="C21" s="266" t="s">
        <v>386</v>
      </c>
      <c r="D21" s="270" t="s">
        <v>1277</v>
      </c>
      <c r="E21" s="280">
        <v>0</v>
      </c>
      <c r="F21" s="268">
        <v>0</v>
      </c>
      <c r="G21" s="264" t="s">
        <v>144</v>
      </c>
    </row>
    <row r="22" spans="1:7" s="274" customFormat="1" ht="19.5" customHeight="1" hidden="1">
      <c r="A22" s="247" t="s">
        <v>207</v>
      </c>
      <c r="B22" s="271"/>
      <c r="C22" s="271"/>
      <c r="D22" s="272" t="s">
        <v>210</v>
      </c>
      <c r="E22" s="273">
        <f>E24</f>
        <v>0</v>
      </c>
      <c r="F22" s="273">
        <f>F23</f>
        <v>0</v>
      </c>
      <c r="G22" s="251" t="s">
        <v>144</v>
      </c>
    </row>
    <row r="23" spans="1:7" ht="21.75" customHeight="1" hidden="1">
      <c r="A23" s="253"/>
      <c r="B23" s="275" t="s">
        <v>758</v>
      </c>
      <c r="C23" s="275"/>
      <c r="D23" s="276" t="s">
        <v>1358</v>
      </c>
      <c r="E23" s="279">
        <f>E24</f>
        <v>0</v>
      </c>
      <c r="F23" s="277">
        <f>F24</f>
        <v>0</v>
      </c>
      <c r="G23" s="257" t="s">
        <v>144</v>
      </c>
    </row>
    <row r="24" spans="1:7" s="269" customFormat="1" ht="29.25" customHeight="1" hidden="1">
      <c r="A24" s="259"/>
      <c r="B24" s="266"/>
      <c r="C24" s="266"/>
      <c r="D24" s="270"/>
      <c r="E24" s="280">
        <v>0</v>
      </c>
      <c r="F24" s="268">
        <v>0</v>
      </c>
      <c r="G24" s="264" t="s">
        <v>144</v>
      </c>
    </row>
    <row r="25" spans="1:7" ht="19.5" customHeight="1">
      <c r="A25" s="247" t="s">
        <v>1414</v>
      </c>
      <c r="B25" s="271"/>
      <c r="C25" s="271"/>
      <c r="D25" s="282" t="s">
        <v>1415</v>
      </c>
      <c r="E25" s="283">
        <f>SUM(E26,E28,E39)</f>
        <v>1286805</v>
      </c>
      <c r="F25" s="284">
        <f>SUM(F26,F28,F39)</f>
        <v>3164989.16</v>
      </c>
      <c r="G25" s="285">
        <f>F25/E25*100</f>
        <v>245.95716988976574</v>
      </c>
    </row>
    <row r="26" spans="1:7" ht="19.5" customHeight="1" hidden="1">
      <c r="A26" s="253"/>
      <c r="B26" s="275" t="s">
        <v>1347</v>
      </c>
      <c r="C26" s="275"/>
      <c r="D26" s="255" t="s">
        <v>1348</v>
      </c>
      <c r="E26" s="1401">
        <f>SUM(E27)</f>
        <v>0</v>
      </c>
      <c r="F26" s="339">
        <f>SUM(F27)</f>
        <v>0</v>
      </c>
      <c r="G26" s="281" t="s">
        <v>144</v>
      </c>
    </row>
    <row r="27" spans="1:7" s="269" customFormat="1" ht="20.25" customHeight="1" hidden="1">
      <c r="A27" s="259"/>
      <c r="B27" s="266"/>
      <c r="C27" s="266" t="s">
        <v>385</v>
      </c>
      <c r="D27" s="270" t="s">
        <v>109</v>
      </c>
      <c r="E27" s="268">
        <v>0</v>
      </c>
      <c r="F27" s="280"/>
      <c r="G27" s="294" t="s">
        <v>144</v>
      </c>
    </row>
    <row r="28" spans="1:7" ht="19.5" customHeight="1">
      <c r="A28" s="253"/>
      <c r="B28" s="275" t="s">
        <v>1417</v>
      </c>
      <c r="C28" s="275"/>
      <c r="D28" s="255" t="s">
        <v>1418</v>
      </c>
      <c r="E28" s="279">
        <f>SUM(E29,E30,E31,E32,E33,E34,E35,E36,E37)</f>
        <v>981805</v>
      </c>
      <c r="F28" s="279">
        <f>SUM(F29,F30,F31,F32,F33,F34,F35,F36,F37)</f>
        <v>3025356.62</v>
      </c>
      <c r="G28" s="281">
        <f>F28/E28*100</f>
        <v>308.14231135510613</v>
      </c>
    </row>
    <row r="29" spans="1:7" s="269" customFormat="1" ht="27" customHeight="1" hidden="1">
      <c r="A29" s="259"/>
      <c r="B29" s="266"/>
      <c r="C29" s="266" t="s">
        <v>386</v>
      </c>
      <c r="D29" s="270" t="s">
        <v>1277</v>
      </c>
      <c r="E29" s="280">
        <v>0</v>
      </c>
      <c r="F29" s="280">
        <v>0</v>
      </c>
      <c r="G29" s="281" t="s">
        <v>144</v>
      </c>
    </row>
    <row r="30" spans="1:7" ht="27.75" customHeight="1" hidden="1">
      <c r="A30" s="259"/>
      <c r="B30" s="266"/>
      <c r="C30" s="266" t="s">
        <v>1276</v>
      </c>
      <c r="D30" s="270" t="s">
        <v>1275</v>
      </c>
      <c r="E30" s="280">
        <v>0</v>
      </c>
      <c r="F30" s="268">
        <v>0</v>
      </c>
      <c r="G30" s="264" t="s">
        <v>144</v>
      </c>
    </row>
    <row r="31" spans="1:7" ht="27.75" customHeight="1" hidden="1">
      <c r="A31" s="259"/>
      <c r="B31" s="266"/>
      <c r="C31" s="266" t="s">
        <v>387</v>
      </c>
      <c r="D31" s="267" t="s">
        <v>106</v>
      </c>
      <c r="E31" s="280">
        <v>0</v>
      </c>
      <c r="F31" s="268">
        <v>0</v>
      </c>
      <c r="G31" s="264" t="e">
        <f>F31/E31*100</f>
        <v>#DIV/0!</v>
      </c>
    </row>
    <row r="32" spans="1:7" s="269" customFormat="1" ht="20.25" customHeight="1">
      <c r="A32" s="259"/>
      <c r="B32" s="266"/>
      <c r="C32" s="266" t="s">
        <v>369</v>
      </c>
      <c r="D32" s="270" t="s">
        <v>368</v>
      </c>
      <c r="E32" s="268">
        <v>25000</v>
      </c>
      <c r="F32" s="268">
        <v>2295.92</v>
      </c>
      <c r="G32" s="264">
        <f>F32/E32*100</f>
        <v>9.183679999999999</v>
      </c>
    </row>
    <row r="33" spans="1:7" s="269" customFormat="1" ht="20.25" customHeight="1">
      <c r="A33" s="259"/>
      <c r="B33" s="266"/>
      <c r="C33" s="266" t="s">
        <v>384</v>
      </c>
      <c r="D33" s="270" t="s">
        <v>110</v>
      </c>
      <c r="E33" s="268">
        <v>0</v>
      </c>
      <c r="F33" s="268">
        <v>1.11</v>
      </c>
      <c r="G33" s="257" t="s">
        <v>144</v>
      </c>
    </row>
    <row r="34" spans="1:7" s="269" customFormat="1" ht="20.25" customHeight="1">
      <c r="A34" s="259"/>
      <c r="B34" s="266"/>
      <c r="C34" s="266" t="s">
        <v>385</v>
      </c>
      <c r="D34" s="270" t="s">
        <v>109</v>
      </c>
      <c r="E34" s="268">
        <v>600000</v>
      </c>
      <c r="F34" s="268">
        <v>168736.64</v>
      </c>
      <c r="G34" s="264">
        <f>F34/E34*100</f>
        <v>28.122773333333335</v>
      </c>
    </row>
    <row r="35" spans="1:7" s="269" customFormat="1" ht="40.5" customHeight="1" hidden="1">
      <c r="A35" s="259"/>
      <c r="B35" s="286"/>
      <c r="C35" s="266" t="s">
        <v>1369</v>
      </c>
      <c r="D35" s="270" t="s">
        <v>689</v>
      </c>
      <c r="E35" s="268">
        <v>0</v>
      </c>
      <c r="F35" s="268">
        <v>0</v>
      </c>
      <c r="G35" s="257" t="s">
        <v>144</v>
      </c>
    </row>
    <row r="36" spans="1:7" s="269" customFormat="1" ht="40.5" customHeight="1">
      <c r="A36" s="259"/>
      <c r="B36" s="286"/>
      <c r="C36" s="266" t="s">
        <v>441</v>
      </c>
      <c r="D36" s="270" t="s">
        <v>497</v>
      </c>
      <c r="E36" s="263">
        <v>356805</v>
      </c>
      <c r="F36" s="263">
        <v>0</v>
      </c>
      <c r="G36" s="264">
        <f>F36/E36*100</f>
        <v>0</v>
      </c>
    </row>
    <row r="37" spans="1:7" s="269" customFormat="1" ht="52.5" customHeight="1">
      <c r="A37" s="259"/>
      <c r="B37" s="286"/>
      <c r="C37" s="266" t="s">
        <v>1257</v>
      </c>
      <c r="D37" s="270" t="s">
        <v>497</v>
      </c>
      <c r="E37" s="263">
        <v>0</v>
      </c>
      <c r="F37" s="263">
        <v>2854322.95</v>
      </c>
      <c r="G37" s="264" t="s">
        <v>144</v>
      </c>
    </row>
    <row r="38" spans="1:7" s="269" customFormat="1" ht="78" customHeight="1">
      <c r="A38" s="259"/>
      <c r="B38" s="266"/>
      <c r="C38" s="266"/>
      <c r="D38" s="262" t="s">
        <v>498</v>
      </c>
      <c r="E38" s="263"/>
      <c r="F38" s="263"/>
      <c r="G38" s="264"/>
    </row>
    <row r="39" spans="1:7" ht="21.75" customHeight="1">
      <c r="A39" s="253"/>
      <c r="B39" s="287" t="s">
        <v>250</v>
      </c>
      <c r="C39" s="275"/>
      <c r="D39" s="255" t="s">
        <v>251</v>
      </c>
      <c r="E39" s="256">
        <f>SUM(E40,E41,E42,E43,E44,E46)</f>
        <v>305000</v>
      </c>
      <c r="F39" s="256">
        <f>SUM(F40,F41,F42,F43,F44,F46)</f>
        <v>139632.53999999998</v>
      </c>
      <c r="G39" s="257">
        <f>F39/E39*100</f>
        <v>45.78116065573769</v>
      </c>
    </row>
    <row r="40" spans="1:7" ht="27.75" customHeight="1" hidden="1">
      <c r="A40" s="259"/>
      <c r="B40" s="266"/>
      <c r="C40" s="266" t="s">
        <v>1276</v>
      </c>
      <c r="D40" s="270" t="s">
        <v>1275</v>
      </c>
      <c r="E40" s="280">
        <v>0</v>
      </c>
      <c r="F40" s="268">
        <v>0</v>
      </c>
      <c r="G40" s="264" t="s">
        <v>144</v>
      </c>
    </row>
    <row r="41" spans="1:7" s="269" customFormat="1" ht="21" customHeight="1" hidden="1">
      <c r="A41" s="259"/>
      <c r="B41" s="266"/>
      <c r="C41" s="266" t="s">
        <v>387</v>
      </c>
      <c r="D41" s="267" t="s">
        <v>106</v>
      </c>
      <c r="E41" s="268">
        <v>0</v>
      </c>
      <c r="F41" s="268">
        <v>0</v>
      </c>
      <c r="G41" s="264" t="e">
        <f>F41/E41*100</f>
        <v>#DIV/0!</v>
      </c>
    </row>
    <row r="42" spans="1:7" s="269" customFormat="1" ht="66" customHeight="1">
      <c r="A42" s="288"/>
      <c r="B42" s="289"/>
      <c r="C42" s="290" t="s">
        <v>388</v>
      </c>
      <c r="D42" s="262" t="s">
        <v>464</v>
      </c>
      <c r="E42" s="291">
        <v>305000</v>
      </c>
      <c r="F42" s="291">
        <v>138057.86</v>
      </c>
      <c r="G42" s="264">
        <f>F42/E42*100</f>
        <v>45.26487213114754</v>
      </c>
    </row>
    <row r="43" spans="1:7" s="269" customFormat="1" ht="21" customHeight="1">
      <c r="A43" s="259"/>
      <c r="B43" s="266"/>
      <c r="C43" s="266" t="s">
        <v>384</v>
      </c>
      <c r="D43" s="270" t="s">
        <v>110</v>
      </c>
      <c r="E43" s="268">
        <v>0</v>
      </c>
      <c r="F43" s="268">
        <v>1574.68</v>
      </c>
      <c r="G43" s="264" t="s">
        <v>144</v>
      </c>
    </row>
    <row r="44" spans="1:7" s="269" customFormat="1" ht="54.75" customHeight="1" hidden="1">
      <c r="A44" s="259"/>
      <c r="B44" s="286"/>
      <c r="C44" s="266" t="s">
        <v>1257</v>
      </c>
      <c r="D44" s="270" t="s">
        <v>497</v>
      </c>
      <c r="E44" s="263">
        <v>0</v>
      </c>
      <c r="F44" s="263">
        <v>0</v>
      </c>
      <c r="G44" s="264" t="e">
        <f>F44/E44*100</f>
        <v>#DIV/0!</v>
      </c>
    </row>
    <row r="45" spans="1:7" s="269" customFormat="1" ht="66.75" customHeight="1" hidden="1">
      <c r="A45" s="259"/>
      <c r="B45" s="286"/>
      <c r="C45" s="266"/>
      <c r="D45" s="262" t="s">
        <v>571</v>
      </c>
      <c r="E45" s="263"/>
      <c r="F45" s="263"/>
      <c r="G45" s="264"/>
    </row>
    <row r="46" spans="1:7" s="269" customFormat="1" ht="54" customHeight="1" hidden="1">
      <c r="A46" s="259"/>
      <c r="B46" s="286"/>
      <c r="C46" s="266" t="s">
        <v>1200</v>
      </c>
      <c r="D46" s="270" t="s">
        <v>497</v>
      </c>
      <c r="E46" s="263">
        <v>0</v>
      </c>
      <c r="F46" s="263">
        <v>0</v>
      </c>
      <c r="G46" s="264" t="e">
        <f>F46/E46*100</f>
        <v>#DIV/0!</v>
      </c>
    </row>
    <row r="47" spans="1:7" s="269" customFormat="1" ht="66.75" customHeight="1" hidden="1">
      <c r="A47" s="259"/>
      <c r="B47" s="286"/>
      <c r="C47" s="266"/>
      <c r="D47" s="262" t="s">
        <v>577</v>
      </c>
      <c r="E47" s="263"/>
      <c r="F47" s="263"/>
      <c r="G47" s="264"/>
    </row>
    <row r="48" spans="1:7" s="274" customFormat="1" ht="19.5" customHeight="1">
      <c r="A48" s="247" t="s">
        <v>1419</v>
      </c>
      <c r="B48" s="271"/>
      <c r="C48" s="271"/>
      <c r="D48" s="282" t="s">
        <v>1420</v>
      </c>
      <c r="E48" s="273">
        <f>SUM(E49,E56)</f>
        <v>1172086</v>
      </c>
      <c r="F48" s="273">
        <f>SUM(F49,F56)</f>
        <v>0</v>
      </c>
      <c r="G48" s="251">
        <f>F48/E48*100</f>
        <v>0</v>
      </c>
    </row>
    <row r="49" spans="1:7" ht="16.5" customHeight="1" hidden="1">
      <c r="A49" s="253"/>
      <c r="B49" s="275" t="s">
        <v>232</v>
      </c>
      <c r="C49" s="275"/>
      <c r="D49" s="255" t="s">
        <v>233</v>
      </c>
      <c r="E49" s="277">
        <f>SUM(E50,E51,E52,E53,E54)</f>
        <v>0</v>
      </c>
      <c r="F49" s="277">
        <f>SUM(F50,F51,F52,F53,F54)</f>
        <v>0</v>
      </c>
      <c r="G49" s="257" t="e">
        <f>F49/E49*100</f>
        <v>#DIV/0!</v>
      </c>
    </row>
    <row r="50" spans="1:7" ht="30.75" customHeight="1" hidden="1">
      <c r="A50" s="259"/>
      <c r="B50" s="266"/>
      <c r="C50" s="345" t="s">
        <v>1276</v>
      </c>
      <c r="D50" s="270" t="s">
        <v>1275</v>
      </c>
      <c r="E50" s="268">
        <v>0</v>
      </c>
      <c r="F50" s="268">
        <v>0</v>
      </c>
      <c r="G50" s="264" t="s">
        <v>144</v>
      </c>
    </row>
    <row r="51" spans="1:7" ht="21" customHeight="1" hidden="1">
      <c r="A51" s="259"/>
      <c r="B51" s="266"/>
      <c r="C51" s="266" t="s">
        <v>369</v>
      </c>
      <c r="D51" s="270" t="s">
        <v>368</v>
      </c>
      <c r="E51" s="268">
        <v>0</v>
      </c>
      <c r="F51" s="268">
        <v>0</v>
      </c>
      <c r="G51" s="264" t="s">
        <v>144</v>
      </c>
    </row>
    <row r="52" spans="1:7" s="269" customFormat="1" ht="21" customHeight="1" hidden="1">
      <c r="A52" s="259"/>
      <c r="B52" s="266"/>
      <c r="C52" s="266" t="s">
        <v>384</v>
      </c>
      <c r="D52" s="270" t="s">
        <v>110</v>
      </c>
      <c r="E52" s="268">
        <v>0</v>
      </c>
      <c r="F52" s="268">
        <v>0</v>
      </c>
      <c r="G52" s="264" t="s">
        <v>144</v>
      </c>
    </row>
    <row r="53" spans="1:7" s="269" customFormat="1" ht="21" customHeight="1" hidden="1">
      <c r="A53" s="259"/>
      <c r="B53" s="260"/>
      <c r="C53" s="260" t="s">
        <v>385</v>
      </c>
      <c r="D53" s="292" t="s">
        <v>109</v>
      </c>
      <c r="E53" s="293">
        <v>0</v>
      </c>
      <c r="F53" s="293">
        <v>0</v>
      </c>
      <c r="G53" s="264" t="s">
        <v>144</v>
      </c>
    </row>
    <row r="54" spans="1:7" s="269" customFormat="1" ht="54" customHeight="1" hidden="1">
      <c r="A54" s="259"/>
      <c r="B54" s="266"/>
      <c r="C54" s="266" t="s">
        <v>1030</v>
      </c>
      <c r="D54" s="270" t="s">
        <v>142</v>
      </c>
      <c r="E54" s="263">
        <v>0</v>
      </c>
      <c r="F54" s="263">
        <v>0</v>
      </c>
      <c r="G54" s="294" t="e">
        <f>F54/E54*100</f>
        <v>#DIV/0!</v>
      </c>
    </row>
    <row r="55" spans="1:7" s="269" customFormat="1" ht="79.5" customHeight="1" hidden="1">
      <c r="A55" s="259"/>
      <c r="B55" s="266"/>
      <c r="C55" s="266"/>
      <c r="D55" s="262" t="s">
        <v>498</v>
      </c>
      <c r="E55" s="295"/>
      <c r="F55" s="263"/>
      <c r="G55" s="294"/>
    </row>
    <row r="56" spans="1:7" s="269" customFormat="1" ht="18" customHeight="1">
      <c r="A56" s="253"/>
      <c r="B56" s="275" t="s">
        <v>669</v>
      </c>
      <c r="C56" s="275"/>
      <c r="D56" s="255" t="s">
        <v>1358</v>
      </c>
      <c r="E56" s="277">
        <f>SUM(E57,E58,E59,E61,E63,E65)</f>
        <v>1172086</v>
      </c>
      <c r="F56" s="277">
        <f>SUM(F57,F58,F59,F61,F63,F65)</f>
        <v>0</v>
      </c>
      <c r="G56" s="257">
        <f>F56/E56*100</f>
        <v>0</v>
      </c>
    </row>
    <row r="57" spans="1:7" s="269" customFormat="1" ht="29.25" customHeight="1" hidden="1">
      <c r="A57" s="259"/>
      <c r="B57" s="266"/>
      <c r="C57" s="266" t="s">
        <v>386</v>
      </c>
      <c r="D57" s="270" t="s">
        <v>1277</v>
      </c>
      <c r="E57" s="268">
        <v>0</v>
      </c>
      <c r="F57" s="268">
        <v>0</v>
      </c>
      <c r="G57" s="257" t="s">
        <v>144</v>
      </c>
    </row>
    <row r="58" spans="1:7" s="269" customFormat="1" ht="20.25" customHeight="1" hidden="1">
      <c r="A58" s="259"/>
      <c r="B58" s="266"/>
      <c r="C58" s="260" t="s">
        <v>385</v>
      </c>
      <c r="D58" s="292" t="s">
        <v>109</v>
      </c>
      <c r="E58" s="268">
        <v>0</v>
      </c>
      <c r="F58" s="268">
        <v>0</v>
      </c>
      <c r="G58" s="257" t="e">
        <f>F58/E58*100</f>
        <v>#DIV/0!</v>
      </c>
    </row>
    <row r="59" spans="1:7" s="269" customFormat="1" ht="72" customHeight="1">
      <c r="A59" s="259"/>
      <c r="B59" s="266"/>
      <c r="C59" s="260" t="s">
        <v>346</v>
      </c>
      <c r="D59" s="296" t="s">
        <v>348</v>
      </c>
      <c r="E59" s="268">
        <v>1012786</v>
      </c>
      <c r="F59" s="268">
        <v>0</v>
      </c>
      <c r="G59" s="257">
        <f>F59/E59*100</f>
        <v>0</v>
      </c>
    </row>
    <row r="60" spans="1:7" s="269" customFormat="1" ht="24.75" customHeight="1">
      <c r="A60" s="259"/>
      <c r="B60" s="266"/>
      <c r="C60" s="260"/>
      <c r="D60" s="296" t="s">
        <v>83</v>
      </c>
      <c r="E60" s="268"/>
      <c r="F60" s="268"/>
      <c r="G60" s="264"/>
    </row>
    <row r="61" spans="1:7" s="269" customFormat="1" ht="69.75" customHeight="1">
      <c r="A61" s="259"/>
      <c r="B61" s="266"/>
      <c r="C61" s="260" t="s">
        <v>347</v>
      </c>
      <c r="D61" s="296" t="s">
        <v>348</v>
      </c>
      <c r="E61" s="268">
        <v>159300</v>
      </c>
      <c r="F61" s="268">
        <v>0</v>
      </c>
      <c r="G61" s="257">
        <f>F61/E61*100</f>
        <v>0</v>
      </c>
    </row>
    <row r="62" spans="1:7" s="269" customFormat="1" ht="78" customHeight="1">
      <c r="A62" s="259"/>
      <c r="B62" s="266"/>
      <c r="C62" s="260"/>
      <c r="D62" s="262" t="s">
        <v>320</v>
      </c>
      <c r="E62" s="268"/>
      <c r="F62" s="268"/>
      <c r="G62" s="264"/>
    </row>
    <row r="63" spans="1:7" ht="50.25" customHeight="1" hidden="1">
      <c r="A63" s="288"/>
      <c r="B63" s="289"/>
      <c r="C63" s="290" t="s">
        <v>1257</v>
      </c>
      <c r="D63" s="270" t="s">
        <v>497</v>
      </c>
      <c r="E63" s="291">
        <v>0</v>
      </c>
      <c r="F63" s="291">
        <v>0</v>
      </c>
      <c r="G63" s="264" t="e">
        <f>F63/E63*100</f>
        <v>#DIV/0!</v>
      </c>
    </row>
    <row r="64" spans="1:7" s="269" customFormat="1" ht="74.25" customHeight="1" hidden="1">
      <c r="A64" s="259"/>
      <c r="B64" s="266"/>
      <c r="C64" s="260"/>
      <c r="D64" s="262" t="s">
        <v>498</v>
      </c>
      <c r="E64" s="268"/>
      <c r="F64" s="268"/>
      <c r="G64" s="264"/>
    </row>
    <row r="65" spans="1:7" s="269" customFormat="1" ht="16.5" customHeight="1" hidden="1">
      <c r="A65" s="259"/>
      <c r="B65" s="266"/>
      <c r="C65" s="266" t="s">
        <v>436</v>
      </c>
      <c r="D65" s="270" t="s">
        <v>243</v>
      </c>
      <c r="E65" s="268">
        <v>0</v>
      </c>
      <c r="F65" s="268">
        <v>0</v>
      </c>
      <c r="G65" s="264" t="e">
        <f aca="true" t="shared" si="1" ref="G65:G83">F65/E65*100</f>
        <v>#DIV/0!</v>
      </c>
    </row>
    <row r="66" spans="1:7" s="274" customFormat="1" ht="21" customHeight="1">
      <c r="A66" s="247" t="s">
        <v>1421</v>
      </c>
      <c r="B66" s="271"/>
      <c r="C66" s="271"/>
      <c r="D66" s="272" t="s">
        <v>1422</v>
      </c>
      <c r="E66" s="273">
        <f>SUM(E67,E74,E86)</f>
        <v>48363387</v>
      </c>
      <c r="F66" s="273">
        <f>SUM(F67,F74,F86)</f>
        <v>13864123.99</v>
      </c>
      <c r="G66" s="251">
        <f t="shared" si="1"/>
        <v>28.66656958909847</v>
      </c>
    </row>
    <row r="67" spans="1:7" ht="21" customHeight="1">
      <c r="A67" s="259"/>
      <c r="B67" s="275" t="s">
        <v>671</v>
      </c>
      <c r="C67" s="275"/>
      <c r="D67" s="276" t="s">
        <v>673</v>
      </c>
      <c r="E67" s="277">
        <f>SUM(E68,E69+E70,E72)</f>
        <v>1200390</v>
      </c>
      <c r="F67" s="277">
        <f>SUM(F68,F69+F70,F72)</f>
        <v>298240</v>
      </c>
      <c r="G67" s="257">
        <f>F67/E67*100</f>
        <v>24.84525862428044</v>
      </c>
    </row>
    <row r="68" spans="1:7" s="269" customFormat="1" ht="29.25" customHeight="1">
      <c r="A68" s="259"/>
      <c r="B68" s="266"/>
      <c r="C68" s="266" t="s">
        <v>425</v>
      </c>
      <c r="D68" s="270" t="s">
        <v>885</v>
      </c>
      <c r="E68" s="268">
        <v>191100</v>
      </c>
      <c r="F68" s="268">
        <v>200000</v>
      </c>
      <c r="G68" s="264">
        <f>F68/E68*100</f>
        <v>104.65724751439036</v>
      </c>
    </row>
    <row r="69" spans="1:7" s="269" customFormat="1" ht="40.5" customHeight="1" hidden="1">
      <c r="A69" s="259"/>
      <c r="B69" s="266"/>
      <c r="C69" s="266" t="s">
        <v>268</v>
      </c>
      <c r="D69" s="270" t="s">
        <v>273</v>
      </c>
      <c r="E69" s="268">
        <v>0</v>
      </c>
      <c r="F69" s="268">
        <v>0</v>
      </c>
      <c r="G69" s="264" t="e">
        <f>F69/E69*100</f>
        <v>#DIV/0!</v>
      </c>
    </row>
    <row r="70" spans="1:7" s="269" customFormat="1" ht="70.5" customHeight="1">
      <c r="A70" s="259"/>
      <c r="B70" s="266"/>
      <c r="C70" s="260" t="s">
        <v>346</v>
      </c>
      <c r="D70" s="296" t="s">
        <v>348</v>
      </c>
      <c r="E70" s="268">
        <v>0</v>
      </c>
      <c r="F70" s="268">
        <v>98240</v>
      </c>
      <c r="G70" s="257" t="s">
        <v>144</v>
      </c>
    </row>
    <row r="71" spans="1:7" s="269" customFormat="1" ht="28.5" customHeight="1">
      <c r="A71" s="259"/>
      <c r="B71" s="266"/>
      <c r="C71" s="260"/>
      <c r="D71" s="296" t="s">
        <v>83</v>
      </c>
      <c r="E71" s="268"/>
      <c r="F71" s="268"/>
      <c r="G71" s="264"/>
    </row>
    <row r="72" spans="1:7" s="269" customFormat="1" ht="68.25" customHeight="1">
      <c r="A72" s="259"/>
      <c r="B72" s="266"/>
      <c r="C72" s="260" t="s">
        <v>820</v>
      </c>
      <c r="D72" s="296" t="s">
        <v>348</v>
      </c>
      <c r="E72" s="268">
        <v>1009290</v>
      </c>
      <c r="F72" s="268">
        <v>0</v>
      </c>
      <c r="G72" s="257">
        <f>F72/E72*100</f>
        <v>0</v>
      </c>
    </row>
    <row r="73" spans="1:7" s="269" customFormat="1" ht="78.75" customHeight="1">
      <c r="A73" s="259"/>
      <c r="B73" s="266"/>
      <c r="C73" s="260"/>
      <c r="D73" s="270" t="s">
        <v>410</v>
      </c>
      <c r="E73" s="268"/>
      <c r="F73" s="268"/>
      <c r="G73" s="264"/>
    </row>
    <row r="74" spans="1:7" ht="21" customHeight="1">
      <c r="A74" s="259"/>
      <c r="B74" s="275" t="s">
        <v>1423</v>
      </c>
      <c r="C74" s="275"/>
      <c r="D74" s="276" t="s">
        <v>1424</v>
      </c>
      <c r="E74" s="277">
        <f>SUM(E75,E76,E77,E78,E79,E80,E81,E82,E83,E84,E85)</f>
        <v>47162997</v>
      </c>
      <c r="F74" s="277">
        <f>SUM(F75,F76,F77,F78,F79,F80,F81,F82,F83,F84,F85)</f>
        <v>13565883.99</v>
      </c>
      <c r="G74" s="257">
        <f t="shared" si="1"/>
        <v>28.763829385142763</v>
      </c>
    </row>
    <row r="75" spans="1:7" s="269" customFormat="1" ht="29.25" customHeight="1">
      <c r="A75" s="259"/>
      <c r="B75" s="266"/>
      <c r="C75" s="266" t="s">
        <v>392</v>
      </c>
      <c r="D75" s="270" t="s">
        <v>763</v>
      </c>
      <c r="E75" s="268">
        <v>2600000</v>
      </c>
      <c r="F75" s="268">
        <v>2253846.82</v>
      </c>
      <c r="G75" s="264">
        <f t="shared" si="1"/>
        <v>86.68641615384615</v>
      </c>
    </row>
    <row r="76" spans="1:7" s="269" customFormat="1" ht="29.25" customHeight="1" hidden="1">
      <c r="A76" s="259"/>
      <c r="B76" s="266"/>
      <c r="C76" s="266" t="s">
        <v>386</v>
      </c>
      <c r="D76" s="270" t="s">
        <v>1277</v>
      </c>
      <c r="E76" s="268">
        <v>0</v>
      </c>
      <c r="F76" s="268">
        <v>0</v>
      </c>
      <c r="G76" s="264" t="s">
        <v>144</v>
      </c>
    </row>
    <row r="77" spans="1:7" ht="27.75" customHeight="1" hidden="1">
      <c r="A77" s="259"/>
      <c r="B77" s="266"/>
      <c r="C77" s="266" t="s">
        <v>1276</v>
      </c>
      <c r="D77" s="270" t="s">
        <v>1275</v>
      </c>
      <c r="E77" s="280">
        <v>0</v>
      </c>
      <c r="F77" s="268">
        <v>0</v>
      </c>
      <c r="G77" s="264" t="s">
        <v>144</v>
      </c>
    </row>
    <row r="78" spans="1:7" ht="27.75" customHeight="1">
      <c r="A78" s="259"/>
      <c r="B78" s="266"/>
      <c r="C78" s="266" t="s">
        <v>387</v>
      </c>
      <c r="D78" s="270" t="s">
        <v>106</v>
      </c>
      <c r="E78" s="280">
        <v>10000</v>
      </c>
      <c r="F78" s="268">
        <v>13327.78</v>
      </c>
      <c r="G78" s="264">
        <f t="shared" si="1"/>
        <v>133.2778</v>
      </c>
    </row>
    <row r="79" spans="1:7" s="269" customFormat="1" ht="69" customHeight="1">
      <c r="A79" s="259"/>
      <c r="B79" s="266"/>
      <c r="C79" s="266" t="s">
        <v>388</v>
      </c>
      <c r="D79" s="270" t="s">
        <v>464</v>
      </c>
      <c r="E79" s="268">
        <v>2580000</v>
      </c>
      <c r="F79" s="268">
        <v>1147576.2</v>
      </c>
      <c r="G79" s="264">
        <f t="shared" si="1"/>
        <v>44.4796976744186</v>
      </c>
    </row>
    <row r="80" spans="1:7" s="269" customFormat="1" ht="42" customHeight="1">
      <c r="A80" s="259"/>
      <c r="B80" s="266"/>
      <c r="C80" s="266" t="s">
        <v>394</v>
      </c>
      <c r="D80" s="270" t="s">
        <v>113</v>
      </c>
      <c r="E80" s="268">
        <v>1000000</v>
      </c>
      <c r="F80" s="268">
        <v>1030295.52</v>
      </c>
      <c r="G80" s="264">
        <f t="shared" si="1"/>
        <v>103.029552</v>
      </c>
    </row>
    <row r="81" spans="1:7" s="297" customFormat="1" ht="39" customHeight="1">
      <c r="A81" s="259"/>
      <c r="B81" s="266"/>
      <c r="C81" s="266" t="s">
        <v>395</v>
      </c>
      <c r="D81" s="270" t="s">
        <v>499</v>
      </c>
      <c r="E81" s="268">
        <v>40882997</v>
      </c>
      <c r="F81" s="268">
        <v>8971259.51</v>
      </c>
      <c r="G81" s="264">
        <f t="shared" si="1"/>
        <v>21.943742309302813</v>
      </c>
    </row>
    <row r="82" spans="1:7" s="269" customFormat="1" ht="19.5" customHeight="1">
      <c r="A82" s="259"/>
      <c r="B82" s="260"/>
      <c r="C82" s="260" t="s">
        <v>384</v>
      </c>
      <c r="D82" s="292" t="s">
        <v>110</v>
      </c>
      <c r="E82" s="293">
        <v>40000</v>
      </c>
      <c r="F82" s="293">
        <v>141214.69</v>
      </c>
      <c r="G82" s="264">
        <f t="shared" si="1"/>
        <v>353.036725</v>
      </c>
    </row>
    <row r="83" spans="1:7" s="269" customFormat="1" ht="19.5" customHeight="1">
      <c r="A83" s="259"/>
      <c r="B83" s="260"/>
      <c r="C83" s="290" t="s">
        <v>385</v>
      </c>
      <c r="D83" s="262" t="s">
        <v>109</v>
      </c>
      <c r="E83" s="291">
        <v>50000</v>
      </c>
      <c r="F83" s="291">
        <v>8363.47</v>
      </c>
      <c r="G83" s="264">
        <f t="shared" si="1"/>
        <v>16.72694</v>
      </c>
    </row>
    <row r="84" spans="1:7" s="269" customFormat="1" ht="63" customHeight="1" hidden="1">
      <c r="A84" s="288"/>
      <c r="B84" s="289"/>
      <c r="C84" s="261">
        <v>2010</v>
      </c>
      <c r="D84" s="262" t="s">
        <v>218</v>
      </c>
      <c r="E84" s="291">
        <v>0</v>
      </c>
      <c r="F84" s="291"/>
      <c r="G84" s="264" t="e">
        <f>F84/E84*100</f>
        <v>#DIV/0!</v>
      </c>
    </row>
    <row r="85" spans="1:7" s="269" customFormat="1" ht="55.5" customHeight="1" hidden="1">
      <c r="A85" s="288"/>
      <c r="B85" s="289"/>
      <c r="C85" s="261">
        <v>2020</v>
      </c>
      <c r="D85" s="262" t="s">
        <v>231</v>
      </c>
      <c r="E85" s="291">
        <v>0</v>
      </c>
      <c r="F85" s="291">
        <v>0</v>
      </c>
      <c r="G85" s="264" t="e">
        <f>F85/E85*100</f>
        <v>#DIV/0!</v>
      </c>
    </row>
    <row r="86" spans="1:7" ht="20.25" customHeight="1" hidden="1">
      <c r="A86" s="298"/>
      <c r="B86" s="299" t="s">
        <v>674</v>
      </c>
      <c r="C86" s="300"/>
      <c r="D86" s="301" t="s">
        <v>1358</v>
      </c>
      <c r="E86" s="302">
        <f>SUM(E87,E88,E89,E90)</f>
        <v>0</v>
      </c>
      <c r="F86" s="302">
        <f>SUM(F87,F88,F89,F90)</f>
        <v>0</v>
      </c>
      <c r="G86" s="257" t="e">
        <f>F86/E86*100</f>
        <v>#DIV/0!</v>
      </c>
    </row>
    <row r="87" spans="1:7" s="269" customFormat="1" ht="30" customHeight="1" hidden="1">
      <c r="A87" s="288"/>
      <c r="B87" s="289"/>
      <c r="C87" s="290" t="s">
        <v>386</v>
      </c>
      <c r="D87" s="262" t="s">
        <v>1277</v>
      </c>
      <c r="E87" s="291">
        <v>0</v>
      </c>
      <c r="F87" s="291">
        <v>0</v>
      </c>
      <c r="G87" s="264" t="s">
        <v>144</v>
      </c>
    </row>
    <row r="88" spans="1:7" s="297" customFormat="1" ht="19.5" customHeight="1" hidden="1">
      <c r="A88" s="259"/>
      <c r="B88" s="260"/>
      <c r="C88" s="345" t="s">
        <v>385</v>
      </c>
      <c r="D88" s="270" t="s">
        <v>109</v>
      </c>
      <c r="E88" s="268">
        <v>0</v>
      </c>
      <c r="F88" s="268">
        <v>0</v>
      </c>
      <c r="G88" s="264" t="e">
        <f>F88/E88*100</f>
        <v>#DIV/0!</v>
      </c>
    </row>
    <row r="89" spans="1:7" s="297" customFormat="1" ht="52.5" customHeight="1" hidden="1">
      <c r="A89" s="259"/>
      <c r="B89" s="260"/>
      <c r="C89" s="345" t="s">
        <v>438</v>
      </c>
      <c r="D89" s="270" t="s">
        <v>759</v>
      </c>
      <c r="E89" s="268">
        <v>0</v>
      </c>
      <c r="F89" s="268">
        <v>0</v>
      </c>
      <c r="G89" s="264" t="e">
        <f>F89/E89*100</f>
        <v>#DIV/0!</v>
      </c>
    </row>
    <row r="90" spans="1:7" s="269" customFormat="1" ht="52.5" customHeight="1" hidden="1">
      <c r="A90" s="288"/>
      <c r="B90" s="289"/>
      <c r="C90" s="261">
        <v>6290</v>
      </c>
      <c r="D90" s="270" t="s">
        <v>497</v>
      </c>
      <c r="E90" s="291">
        <v>0</v>
      </c>
      <c r="F90" s="291">
        <v>0</v>
      </c>
      <c r="G90" s="264" t="s">
        <v>144</v>
      </c>
    </row>
    <row r="91" spans="1:7" ht="19.5" customHeight="1">
      <c r="A91" s="303" t="s">
        <v>1425</v>
      </c>
      <c r="B91" s="304"/>
      <c r="C91" s="305"/>
      <c r="D91" s="306" t="s">
        <v>1426</v>
      </c>
      <c r="E91" s="284">
        <f>SUM(E92,E94,E97)</f>
        <v>280000</v>
      </c>
      <c r="F91" s="284">
        <f>SUM(F92,F94,F97)</f>
        <v>151431.31</v>
      </c>
      <c r="G91" s="251">
        <f>F91/E91*100</f>
        <v>54.082610714285714</v>
      </c>
    </row>
    <row r="92" spans="1:7" ht="19.5" customHeight="1" hidden="1">
      <c r="A92" s="298"/>
      <c r="B92" s="299" t="s">
        <v>675</v>
      </c>
      <c r="C92" s="305"/>
      <c r="D92" s="307" t="s">
        <v>677</v>
      </c>
      <c r="E92" s="302">
        <f>SUM(E93)</f>
        <v>0</v>
      </c>
      <c r="F92" s="302">
        <f>SUM(F93)</f>
        <v>0</v>
      </c>
      <c r="G92" s="257" t="s">
        <v>144</v>
      </c>
    </row>
    <row r="93" spans="1:7" s="269" customFormat="1" ht="29.25" customHeight="1" hidden="1">
      <c r="A93" s="288"/>
      <c r="B93" s="289"/>
      <c r="C93" s="289" t="s">
        <v>386</v>
      </c>
      <c r="D93" s="262" t="s">
        <v>1277</v>
      </c>
      <c r="E93" s="291">
        <v>0</v>
      </c>
      <c r="F93" s="291">
        <v>0</v>
      </c>
      <c r="G93" s="264" t="s">
        <v>144</v>
      </c>
    </row>
    <row r="94" spans="1:7" ht="18.75" customHeight="1" hidden="1">
      <c r="A94" s="298"/>
      <c r="B94" s="299" t="s">
        <v>1428</v>
      </c>
      <c r="C94" s="299"/>
      <c r="D94" s="301" t="s">
        <v>1429</v>
      </c>
      <c r="E94" s="302">
        <f>SUM(E95,E96)</f>
        <v>0</v>
      </c>
      <c r="F94" s="302">
        <f>SUM(F95,F96)</f>
        <v>0</v>
      </c>
      <c r="G94" s="257" t="s">
        <v>144</v>
      </c>
    </row>
    <row r="95" spans="1:7" s="269" customFormat="1" ht="29.25" customHeight="1" hidden="1">
      <c r="A95" s="288"/>
      <c r="B95" s="289"/>
      <c r="C95" s="289" t="s">
        <v>386</v>
      </c>
      <c r="D95" s="270" t="s">
        <v>1277</v>
      </c>
      <c r="E95" s="291">
        <v>0</v>
      </c>
      <c r="F95" s="291">
        <v>0</v>
      </c>
      <c r="G95" s="264" t="s">
        <v>144</v>
      </c>
    </row>
    <row r="96" spans="1:7" s="269" customFormat="1" ht="21.75" customHeight="1" hidden="1">
      <c r="A96" s="288"/>
      <c r="B96" s="289"/>
      <c r="C96" s="289" t="s">
        <v>385</v>
      </c>
      <c r="D96" s="270" t="s">
        <v>109</v>
      </c>
      <c r="E96" s="291">
        <v>0</v>
      </c>
      <c r="F96" s="291">
        <v>0</v>
      </c>
      <c r="G96" s="264" t="s">
        <v>144</v>
      </c>
    </row>
    <row r="97" spans="1:7" ht="19.5" customHeight="1">
      <c r="A97" s="298"/>
      <c r="B97" s="299" t="s">
        <v>1435</v>
      </c>
      <c r="C97" s="299"/>
      <c r="D97" s="307" t="s">
        <v>1436</v>
      </c>
      <c r="E97" s="302">
        <f>SUM(E99,E100,E101)</f>
        <v>280000</v>
      </c>
      <c r="F97" s="302">
        <f>SUM(F99,F100,F101)</f>
        <v>151431.31</v>
      </c>
      <c r="G97" s="257">
        <f aca="true" t="shared" si="2" ref="G97:G108">F97/E97*100</f>
        <v>54.082610714285714</v>
      </c>
    </row>
    <row r="98" spans="1:7" ht="29.25" customHeight="1" hidden="1">
      <c r="A98" s="298"/>
      <c r="B98" s="299"/>
      <c r="C98" s="289" t="s">
        <v>386</v>
      </c>
      <c r="D98" s="262" t="s">
        <v>1277</v>
      </c>
      <c r="E98" s="291">
        <v>0</v>
      </c>
      <c r="F98" s="291">
        <v>0</v>
      </c>
      <c r="G98" s="257" t="s">
        <v>144</v>
      </c>
    </row>
    <row r="99" spans="1:9" s="269" customFormat="1" ht="19.5" customHeight="1">
      <c r="A99" s="288"/>
      <c r="B99" s="289"/>
      <c r="C99" s="289" t="s">
        <v>383</v>
      </c>
      <c r="D99" s="308" t="s">
        <v>156</v>
      </c>
      <c r="E99" s="291">
        <v>280000</v>
      </c>
      <c r="F99" s="1505">
        <v>151421.09</v>
      </c>
      <c r="G99" s="264">
        <f t="shared" si="2"/>
        <v>54.07896071428572</v>
      </c>
      <c r="I99" s="1522" t="s">
        <v>1399</v>
      </c>
    </row>
    <row r="100" spans="1:7" s="269" customFormat="1" ht="19.5" customHeight="1">
      <c r="A100" s="288"/>
      <c r="B100" s="289"/>
      <c r="C100" s="289" t="s">
        <v>384</v>
      </c>
      <c r="D100" s="308" t="s">
        <v>110</v>
      </c>
      <c r="E100" s="291">
        <v>0</v>
      </c>
      <c r="F100" s="291">
        <v>10.22</v>
      </c>
      <c r="G100" s="264" t="s">
        <v>144</v>
      </c>
    </row>
    <row r="101" spans="1:7" s="269" customFormat="1" ht="19.5" customHeight="1" hidden="1">
      <c r="A101" s="288"/>
      <c r="B101" s="289"/>
      <c r="C101" s="289" t="s">
        <v>385</v>
      </c>
      <c r="D101" s="308" t="s">
        <v>109</v>
      </c>
      <c r="E101" s="291">
        <v>0</v>
      </c>
      <c r="F101" s="291">
        <v>0</v>
      </c>
      <c r="G101" s="264" t="s">
        <v>144</v>
      </c>
    </row>
    <row r="102" spans="1:7" s="274" customFormat="1" ht="19.5" customHeight="1">
      <c r="A102" s="303" t="s">
        <v>1437</v>
      </c>
      <c r="B102" s="304"/>
      <c r="C102" s="304"/>
      <c r="D102" s="306" t="s">
        <v>1438</v>
      </c>
      <c r="E102" s="284">
        <f>SUM(E103,E105,E114,E116,E122)</f>
        <v>557198</v>
      </c>
      <c r="F102" s="284">
        <f>SUM(F103,F105,F114,F116,F122)</f>
        <v>404992.94</v>
      </c>
      <c r="G102" s="251">
        <f t="shared" si="2"/>
        <v>72.683846675688</v>
      </c>
    </row>
    <row r="103" spans="1:7" ht="19.5" customHeight="1">
      <c r="A103" s="298"/>
      <c r="B103" s="299" t="s">
        <v>1439</v>
      </c>
      <c r="C103" s="299"/>
      <c r="D103" s="307" t="s">
        <v>1445</v>
      </c>
      <c r="E103" s="302">
        <f>SUM(E104)</f>
        <v>373400</v>
      </c>
      <c r="F103" s="302">
        <f>SUM(F104)</f>
        <v>202261</v>
      </c>
      <c r="G103" s="257">
        <f t="shared" si="2"/>
        <v>54.16738082485271</v>
      </c>
    </row>
    <row r="104" spans="1:7" s="269" customFormat="1" ht="56.25" customHeight="1">
      <c r="A104" s="288"/>
      <c r="B104" s="289"/>
      <c r="C104" s="289" t="s">
        <v>454</v>
      </c>
      <c r="D104" s="262" t="s">
        <v>218</v>
      </c>
      <c r="E104" s="291">
        <v>373400</v>
      </c>
      <c r="F104" s="291">
        <v>202261</v>
      </c>
      <c r="G104" s="264">
        <f t="shared" si="2"/>
        <v>54.16738082485271</v>
      </c>
    </row>
    <row r="105" spans="1:7" ht="19.5" customHeight="1">
      <c r="A105" s="298"/>
      <c r="B105" s="309" t="s">
        <v>1448</v>
      </c>
      <c r="C105" s="309"/>
      <c r="D105" s="310" t="s">
        <v>219</v>
      </c>
      <c r="E105" s="311">
        <f>SUM(E106,E107,E108,E109,E110,E111,E112,E113)</f>
        <v>91648</v>
      </c>
      <c r="F105" s="311">
        <f>SUM(F106,F107,F108,F109,F110,F111,F112,F113)</f>
        <v>199690.01</v>
      </c>
      <c r="G105" s="281">
        <f t="shared" si="2"/>
        <v>217.88801719622904</v>
      </c>
    </row>
    <row r="106" spans="1:7" s="269" customFormat="1" ht="19.5" customHeight="1">
      <c r="A106" s="312"/>
      <c r="B106" s="313"/>
      <c r="C106" s="313" t="s">
        <v>387</v>
      </c>
      <c r="D106" s="314" t="s">
        <v>106</v>
      </c>
      <c r="E106" s="315">
        <v>28000</v>
      </c>
      <c r="F106" s="291">
        <v>90285.77</v>
      </c>
      <c r="G106" s="294">
        <f t="shared" si="2"/>
        <v>322.4491785714286</v>
      </c>
    </row>
    <row r="107" spans="1:7" s="269" customFormat="1" ht="69" customHeight="1">
      <c r="A107" s="288"/>
      <c r="B107" s="289"/>
      <c r="C107" s="290" t="s">
        <v>388</v>
      </c>
      <c r="D107" s="262" t="s">
        <v>464</v>
      </c>
      <c r="E107" s="291">
        <v>15255</v>
      </c>
      <c r="F107" s="291">
        <v>7755.63</v>
      </c>
      <c r="G107" s="264">
        <f t="shared" si="2"/>
        <v>50.83992133726647</v>
      </c>
    </row>
    <row r="108" spans="1:7" s="269" customFormat="1" ht="20.25" customHeight="1">
      <c r="A108" s="288"/>
      <c r="B108" s="289"/>
      <c r="C108" s="290" t="s">
        <v>383</v>
      </c>
      <c r="D108" s="262" t="s">
        <v>156</v>
      </c>
      <c r="E108" s="291">
        <v>10938</v>
      </c>
      <c r="F108" s="291">
        <v>18869.88</v>
      </c>
      <c r="G108" s="264">
        <f t="shared" si="2"/>
        <v>172.5167306637411</v>
      </c>
    </row>
    <row r="109" spans="1:7" s="269" customFormat="1" ht="20.25" customHeight="1" hidden="1">
      <c r="A109" s="288"/>
      <c r="B109" s="289"/>
      <c r="C109" s="290" t="s">
        <v>369</v>
      </c>
      <c r="D109" s="262" t="s">
        <v>368</v>
      </c>
      <c r="E109" s="291">
        <v>0</v>
      </c>
      <c r="F109" s="291">
        <v>0</v>
      </c>
      <c r="G109" s="264" t="s">
        <v>144</v>
      </c>
    </row>
    <row r="110" spans="1:7" s="269" customFormat="1" ht="30" customHeight="1" hidden="1">
      <c r="A110" s="288"/>
      <c r="B110" s="289"/>
      <c r="C110" s="290" t="s">
        <v>397</v>
      </c>
      <c r="D110" s="262" t="s">
        <v>335</v>
      </c>
      <c r="E110" s="291">
        <v>0</v>
      </c>
      <c r="F110" s="291">
        <v>0</v>
      </c>
      <c r="G110" s="264" t="s">
        <v>144</v>
      </c>
    </row>
    <row r="111" spans="1:7" s="269" customFormat="1" ht="21" customHeight="1">
      <c r="A111" s="288"/>
      <c r="B111" s="289"/>
      <c r="C111" s="290" t="s">
        <v>384</v>
      </c>
      <c r="D111" s="262" t="s">
        <v>110</v>
      </c>
      <c r="E111" s="291">
        <v>0</v>
      </c>
      <c r="F111" s="291">
        <v>1274.93</v>
      </c>
      <c r="G111" s="264" t="s">
        <v>144</v>
      </c>
    </row>
    <row r="112" spans="1:7" s="269" customFormat="1" ht="21" customHeight="1">
      <c r="A112" s="288"/>
      <c r="B112" s="289"/>
      <c r="C112" s="290" t="s">
        <v>385</v>
      </c>
      <c r="D112" s="262" t="s">
        <v>109</v>
      </c>
      <c r="E112" s="291">
        <v>5000</v>
      </c>
      <c r="F112" s="291">
        <v>25987.1</v>
      </c>
      <c r="G112" s="264">
        <f aca="true" t="shared" si="3" ref="G112:G140">F112/E112*100</f>
        <v>519.742</v>
      </c>
    </row>
    <row r="113" spans="1:7" s="269" customFormat="1" ht="52.5" customHeight="1">
      <c r="A113" s="288"/>
      <c r="B113" s="289"/>
      <c r="C113" s="290" t="s">
        <v>442</v>
      </c>
      <c r="D113" s="262" t="s">
        <v>462</v>
      </c>
      <c r="E113" s="291">
        <v>32455</v>
      </c>
      <c r="F113" s="291">
        <v>55516.7</v>
      </c>
      <c r="G113" s="257">
        <f t="shared" si="3"/>
        <v>171.05746418117394</v>
      </c>
    </row>
    <row r="114" spans="1:7" ht="19.5" customHeight="1" hidden="1">
      <c r="A114" s="298"/>
      <c r="B114" s="299" t="s">
        <v>1370</v>
      </c>
      <c r="C114" s="316"/>
      <c r="D114" s="301" t="s">
        <v>1371</v>
      </c>
      <c r="E114" s="302">
        <f>SUM(E115)</f>
        <v>0</v>
      </c>
      <c r="F114" s="302">
        <f>SUM(F115)</f>
        <v>0</v>
      </c>
      <c r="G114" s="257" t="e">
        <f t="shared" si="3"/>
        <v>#DIV/0!</v>
      </c>
    </row>
    <row r="115" spans="1:7" s="269" customFormat="1" ht="57.75" customHeight="1" hidden="1">
      <c r="A115" s="288"/>
      <c r="B115" s="289"/>
      <c r="C115" s="289" t="s">
        <v>454</v>
      </c>
      <c r="D115" s="262" t="s">
        <v>218</v>
      </c>
      <c r="E115" s="291">
        <v>0</v>
      </c>
      <c r="F115" s="291">
        <v>0</v>
      </c>
      <c r="G115" s="257" t="e">
        <f t="shared" si="3"/>
        <v>#DIV/0!</v>
      </c>
    </row>
    <row r="116" spans="1:7" ht="20.25" customHeight="1">
      <c r="A116" s="298"/>
      <c r="B116" s="299" t="s">
        <v>1193</v>
      </c>
      <c r="C116" s="316"/>
      <c r="D116" s="301" t="s">
        <v>1195</v>
      </c>
      <c r="E116" s="302">
        <f>SUM(E117,E118,E119,E120,E121)</f>
        <v>80000</v>
      </c>
      <c r="F116" s="302">
        <f>SUM(F117,F118,F119,F120,F121)</f>
        <v>0</v>
      </c>
      <c r="G116" s="257">
        <f t="shared" si="3"/>
        <v>0</v>
      </c>
    </row>
    <row r="117" spans="1:7" s="269" customFormat="1" ht="30" customHeight="1" hidden="1">
      <c r="A117" s="288"/>
      <c r="B117" s="289"/>
      <c r="C117" s="290" t="s">
        <v>386</v>
      </c>
      <c r="D117" s="270" t="s">
        <v>1277</v>
      </c>
      <c r="E117" s="291">
        <v>0</v>
      </c>
      <c r="F117" s="291">
        <v>0</v>
      </c>
      <c r="G117" s="257" t="s">
        <v>144</v>
      </c>
    </row>
    <row r="118" spans="1:7" s="269" customFormat="1" ht="26.25" customHeight="1" hidden="1">
      <c r="A118" s="288"/>
      <c r="B118" s="289"/>
      <c r="C118" s="290" t="s">
        <v>1276</v>
      </c>
      <c r="D118" s="262" t="s">
        <v>1275</v>
      </c>
      <c r="E118" s="291">
        <v>0</v>
      </c>
      <c r="F118" s="291">
        <v>0</v>
      </c>
      <c r="G118" s="257" t="s">
        <v>144</v>
      </c>
    </row>
    <row r="119" spans="1:7" s="269" customFormat="1" ht="20.25" customHeight="1" hidden="1">
      <c r="A119" s="288"/>
      <c r="B119" s="289"/>
      <c r="C119" s="290" t="s">
        <v>383</v>
      </c>
      <c r="D119" s="308" t="s">
        <v>156</v>
      </c>
      <c r="E119" s="291">
        <v>0</v>
      </c>
      <c r="F119" s="291">
        <v>0</v>
      </c>
      <c r="G119" s="257" t="s">
        <v>144</v>
      </c>
    </row>
    <row r="120" spans="1:7" s="269" customFormat="1" ht="23.25" customHeight="1">
      <c r="A120" s="288"/>
      <c r="B120" s="289"/>
      <c r="C120" s="290" t="s">
        <v>385</v>
      </c>
      <c r="D120" s="262" t="s">
        <v>109</v>
      </c>
      <c r="E120" s="291">
        <v>80000</v>
      </c>
      <c r="F120" s="291">
        <v>0</v>
      </c>
      <c r="G120" s="257">
        <f t="shared" si="3"/>
        <v>0</v>
      </c>
    </row>
    <row r="121" spans="1:7" s="269" customFormat="1" ht="50.25" customHeight="1" hidden="1">
      <c r="A121" s="288"/>
      <c r="B121" s="289"/>
      <c r="C121" s="290" t="s">
        <v>993</v>
      </c>
      <c r="D121" s="262" t="s">
        <v>80</v>
      </c>
      <c r="E121" s="291">
        <v>0</v>
      </c>
      <c r="F121" s="291">
        <v>0</v>
      </c>
      <c r="G121" s="264" t="e">
        <f t="shared" si="3"/>
        <v>#DIV/0!</v>
      </c>
    </row>
    <row r="122" spans="1:7" ht="19.5" customHeight="1">
      <c r="A122" s="298"/>
      <c r="B122" s="299" t="s">
        <v>1450</v>
      </c>
      <c r="C122" s="316"/>
      <c r="D122" s="301" t="s">
        <v>1358</v>
      </c>
      <c r="E122" s="302">
        <f>SUM(E123,E124,E126,E128,E129,E131)</f>
        <v>12150</v>
      </c>
      <c r="F122" s="302">
        <f>SUM(F123,F124,F126,F128,F129,F131)</f>
        <v>3041.93</v>
      </c>
      <c r="G122" s="257">
        <f t="shared" si="3"/>
        <v>25.036460905349795</v>
      </c>
    </row>
    <row r="123" spans="1:7" s="269" customFormat="1" ht="23.25" customHeight="1" hidden="1">
      <c r="A123" s="288"/>
      <c r="B123" s="289"/>
      <c r="C123" s="290" t="s">
        <v>385</v>
      </c>
      <c r="D123" s="262" t="s">
        <v>109</v>
      </c>
      <c r="E123" s="291">
        <v>0</v>
      </c>
      <c r="F123" s="291">
        <v>0</v>
      </c>
      <c r="G123" s="264" t="s">
        <v>144</v>
      </c>
    </row>
    <row r="124" spans="1:7" s="269" customFormat="1" ht="66" customHeight="1" hidden="1">
      <c r="A124" s="288"/>
      <c r="B124" s="289"/>
      <c r="C124" s="290" t="s">
        <v>409</v>
      </c>
      <c r="D124" s="262" t="s">
        <v>1056</v>
      </c>
      <c r="E124" s="291">
        <v>0</v>
      </c>
      <c r="F124" s="291">
        <v>0</v>
      </c>
      <c r="G124" s="264" t="e">
        <f t="shared" si="3"/>
        <v>#DIV/0!</v>
      </c>
    </row>
    <row r="125" spans="1:7" s="269" customFormat="1" ht="30.75" customHeight="1" hidden="1">
      <c r="A125" s="288"/>
      <c r="B125" s="289"/>
      <c r="C125" s="290"/>
      <c r="D125" s="296" t="s">
        <v>83</v>
      </c>
      <c r="E125" s="291"/>
      <c r="F125" s="291"/>
      <c r="G125" s="264"/>
    </row>
    <row r="126" spans="1:7" s="269" customFormat="1" ht="67.5" customHeight="1" hidden="1">
      <c r="A126" s="288"/>
      <c r="B126" s="289"/>
      <c r="C126" s="290" t="s">
        <v>606</v>
      </c>
      <c r="D126" s="262" t="s">
        <v>1056</v>
      </c>
      <c r="E126" s="291">
        <v>0</v>
      </c>
      <c r="F126" s="291">
        <v>0</v>
      </c>
      <c r="G126" s="264" t="e">
        <f t="shared" si="3"/>
        <v>#DIV/0!</v>
      </c>
    </row>
    <row r="127" spans="1:7" s="269" customFormat="1" ht="77.25" customHeight="1" hidden="1">
      <c r="A127" s="288"/>
      <c r="B127" s="289"/>
      <c r="C127" s="290"/>
      <c r="D127" s="262" t="s">
        <v>320</v>
      </c>
      <c r="E127" s="291"/>
      <c r="F127" s="291"/>
      <c r="G127" s="264"/>
    </row>
    <row r="128" spans="1:7" s="269" customFormat="1" ht="54" customHeight="1" hidden="1">
      <c r="A128" s="259"/>
      <c r="B128" s="266"/>
      <c r="C128" s="266" t="s">
        <v>530</v>
      </c>
      <c r="D128" s="270" t="s">
        <v>142</v>
      </c>
      <c r="E128" s="291">
        <v>0</v>
      </c>
      <c r="F128" s="291">
        <v>0</v>
      </c>
      <c r="G128" s="264" t="e">
        <f t="shared" si="3"/>
        <v>#DIV/0!</v>
      </c>
    </row>
    <row r="129" spans="1:7" s="269" customFormat="1" ht="54" customHeight="1">
      <c r="A129" s="259"/>
      <c r="B129" s="266"/>
      <c r="C129" s="266" t="s">
        <v>1030</v>
      </c>
      <c r="D129" s="270" t="s">
        <v>142</v>
      </c>
      <c r="E129" s="1615">
        <v>12150</v>
      </c>
      <c r="F129" s="1615">
        <v>3041.93</v>
      </c>
      <c r="G129" s="1616">
        <v>25.036460905349795</v>
      </c>
    </row>
    <row r="130" spans="1:7" s="269" customFormat="1" ht="80.25" customHeight="1">
      <c r="A130" s="259"/>
      <c r="B130" s="266"/>
      <c r="C130" s="266"/>
      <c r="D130" s="270" t="s">
        <v>410</v>
      </c>
      <c r="E130" s="1615"/>
      <c r="F130" s="1615"/>
      <c r="G130" s="1616"/>
    </row>
    <row r="131" spans="1:7" s="269" customFormat="1" ht="66" customHeight="1" hidden="1">
      <c r="A131" s="288"/>
      <c r="B131" s="289"/>
      <c r="C131" s="290" t="s">
        <v>346</v>
      </c>
      <c r="D131" s="296" t="s">
        <v>348</v>
      </c>
      <c r="E131" s="291">
        <v>0</v>
      </c>
      <c r="F131" s="291">
        <v>0</v>
      </c>
      <c r="G131" s="264" t="s">
        <v>144</v>
      </c>
    </row>
    <row r="132" spans="1:7" s="269" customFormat="1" ht="30.75" customHeight="1" hidden="1">
      <c r="A132" s="288"/>
      <c r="B132" s="289"/>
      <c r="C132" s="290"/>
      <c r="D132" s="296" t="s">
        <v>83</v>
      </c>
      <c r="E132" s="291"/>
      <c r="F132" s="291"/>
      <c r="G132" s="264"/>
    </row>
    <row r="133" spans="1:7" s="274" customFormat="1" ht="42" customHeight="1">
      <c r="A133" s="317" t="s">
        <v>164</v>
      </c>
      <c r="B133" s="304"/>
      <c r="C133" s="318"/>
      <c r="D133" s="319" t="s">
        <v>1451</v>
      </c>
      <c r="E133" s="284">
        <f>SUM(E134,E136,E138)</f>
        <v>7164</v>
      </c>
      <c r="F133" s="284">
        <f>SUM(F134,F136,F138)</f>
        <v>3582</v>
      </c>
      <c r="G133" s="320">
        <f t="shared" si="3"/>
        <v>50</v>
      </c>
    </row>
    <row r="134" spans="1:7" ht="29.25" customHeight="1">
      <c r="A134" s="298"/>
      <c r="B134" s="299" t="s">
        <v>116</v>
      </c>
      <c r="C134" s="300"/>
      <c r="D134" s="301" t="s">
        <v>117</v>
      </c>
      <c r="E134" s="302">
        <f>E135</f>
        <v>7164</v>
      </c>
      <c r="F134" s="302">
        <f>F135</f>
        <v>3582</v>
      </c>
      <c r="G134" s="321">
        <f t="shared" si="3"/>
        <v>50</v>
      </c>
    </row>
    <row r="135" spans="1:7" s="269" customFormat="1" ht="56.25" customHeight="1">
      <c r="A135" s="288"/>
      <c r="B135" s="289"/>
      <c r="C135" s="261">
        <v>2010</v>
      </c>
      <c r="D135" s="262" t="s">
        <v>218</v>
      </c>
      <c r="E135" s="291">
        <v>7164</v>
      </c>
      <c r="F135" s="291">
        <v>3582</v>
      </c>
      <c r="G135" s="322">
        <f t="shared" si="3"/>
        <v>50</v>
      </c>
    </row>
    <row r="136" spans="1:7" s="269" customFormat="1" ht="18.75" customHeight="1" hidden="1">
      <c r="A136" s="298"/>
      <c r="B136" s="299" t="s">
        <v>1236</v>
      </c>
      <c r="C136" s="300"/>
      <c r="D136" s="301" t="s">
        <v>1237</v>
      </c>
      <c r="E136" s="302">
        <f>E137</f>
        <v>0</v>
      </c>
      <c r="F136" s="302">
        <f>F137</f>
        <v>0</v>
      </c>
      <c r="G136" s="321" t="e">
        <f t="shared" si="3"/>
        <v>#DIV/0!</v>
      </c>
    </row>
    <row r="137" spans="1:7" s="269" customFormat="1" ht="56.25" customHeight="1" hidden="1">
      <c r="A137" s="288"/>
      <c r="B137" s="289"/>
      <c r="C137" s="261">
        <v>2010</v>
      </c>
      <c r="D137" s="262" t="s">
        <v>218</v>
      </c>
      <c r="E137" s="291">
        <v>0</v>
      </c>
      <c r="F137" s="291">
        <v>0</v>
      </c>
      <c r="G137" s="322" t="e">
        <f t="shared" si="3"/>
        <v>#DIV/0!</v>
      </c>
    </row>
    <row r="138" spans="1:7" s="269" customFormat="1" ht="51.75" customHeight="1" hidden="1">
      <c r="A138" s="298"/>
      <c r="B138" s="299" t="s">
        <v>1372</v>
      </c>
      <c r="C138" s="300"/>
      <c r="D138" s="301" t="s">
        <v>1373</v>
      </c>
      <c r="E138" s="302">
        <f>E139</f>
        <v>0</v>
      </c>
      <c r="F138" s="302">
        <f>F139</f>
        <v>0</v>
      </c>
      <c r="G138" s="321" t="e">
        <f>F138/E138*100</f>
        <v>#DIV/0!</v>
      </c>
    </row>
    <row r="139" spans="1:7" s="269" customFormat="1" ht="56.25" customHeight="1" hidden="1">
      <c r="A139" s="288"/>
      <c r="B139" s="289"/>
      <c r="C139" s="261">
        <v>2010</v>
      </c>
      <c r="D139" s="262" t="s">
        <v>218</v>
      </c>
      <c r="E139" s="291">
        <v>0</v>
      </c>
      <c r="F139" s="291">
        <v>0</v>
      </c>
      <c r="G139" s="322" t="e">
        <f>F139/E139*100</f>
        <v>#DIV/0!</v>
      </c>
    </row>
    <row r="140" spans="1:7" ht="29.25" customHeight="1">
      <c r="A140" s="303" t="s">
        <v>1452</v>
      </c>
      <c r="B140" s="304"/>
      <c r="C140" s="305"/>
      <c r="D140" s="319" t="s">
        <v>48</v>
      </c>
      <c r="E140" s="284">
        <f>SUM(E141,E149,E151)</f>
        <v>350000</v>
      </c>
      <c r="F140" s="284">
        <f>SUM(F141,F149,F151)</f>
        <v>88330.87</v>
      </c>
      <c r="G140" s="251">
        <f t="shared" si="3"/>
        <v>25.237391428571428</v>
      </c>
    </row>
    <row r="141" spans="1:7" ht="20.25" customHeight="1" hidden="1">
      <c r="A141" s="298"/>
      <c r="B141" s="299" t="s">
        <v>683</v>
      </c>
      <c r="C141" s="305"/>
      <c r="D141" s="301" t="s">
        <v>684</v>
      </c>
      <c r="E141" s="302">
        <f>SUM(E142,E143,E145,E147)</f>
        <v>0</v>
      </c>
      <c r="F141" s="302">
        <f>SUM(F142,F143,F145,F147)</f>
        <v>0</v>
      </c>
      <c r="G141" s="257" t="e">
        <f aca="true" t="shared" si="4" ref="G141:G159">F141/E141*100</f>
        <v>#DIV/0!</v>
      </c>
    </row>
    <row r="142" spans="1:7" s="269" customFormat="1" ht="21.75" customHeight="1" hidden="1">
      <c r="A142" s="323"/>
      <c r="B142" s="324"/>
      <c r="C142" s="289" t="s">
        <v>385</v>
      </c>
      <c r="D142" s="262" t="s">
        <v>109</v>
      </c>
      <c r="E142" s="291"/>
      <c r="F142" s="291"/>
      <c r="G142" s="264" t="e">
        <f t="shared" si="4"/>
        <v>#DIV/0!</v>
      </c>
    </row>
    <row r="143" spans="1:7" s="269" customFormat="1" ht="70.5" customHeight="1" hidden="1">
      <c r="A143" s="323"/>
      <c r="B143" s="324"/>
      <c r="C143" s="290" t="s">
        <v>409</v>
      </c>
      <c r="D143" s="262" t="s">
        <v>1056</v>
      </c>
      <c r="E143" s="291">
        <v>0</v>
      </c>
      <c r="F143" s="291">
        <v>0</v>
      </c>
      <c r="G143" s="264" t="e">
        <f t="shared" si="4"/>
        <v>#DIV/0!</v>
      </c>
    </row>
    <row r="144" spans="1:7" s="269" customFormat="1" ht="27" customHeight="1" hidden="1">
      <c r="A144" s="323"/>
      <c r="B144" s="324"/>
      <c r="C144" s="289"/>
      <c r="D144" s="296" t="s">
        <v>83</v>
      </c>
      <c r="E144" s="291"/>
      <c r="F144" s="291"/>
      <c r="G144" s="264"/>
    </row>
    <row r="145" spans="1:7" s="269" customFormat="1" ht="67.5" customHeight="1" hidden="1">
      <c r="A145" s="323"/>
      <c r="B145" s="324"/>
      <c r="C145" s="289" t="s">
        <v>346</v>
      </c>
      <c r="D145" s="296" t="s">
        <v>348</v>
      </c>
      <c r="E145" s="291">
        <v>0</v>
      </c>
      <c r="F145" s="291">
        <v>0</v>
      </c>
      <c r="G145" s="264" t="e">
        <f t="shared" si="4"/>
        <v>#DIV/0!</v>
      </c>
    </row>
    <row r="146" spans="1:7" s="269" customFormat="1" ht="30" customHeight="1" hidden="1">
      <c r="A146" s="323"/>
      <c r="B146" s="324"/>
      <c r="C146" s="289"/>
      <c r="D146" s="296" t="s">
        <v>83</v>
      </c>
      <c r="E146" s="291"/>
      <c r="F146" s="291"/>
      <c r="G146" s="264"/>
    </row>
    <row r="147" spans="1:7" s="269" customFormat="1" ht="56.25" customHeight="1" hidden="1">
      <c r="A147" s="323"/>
      <c r="B147" s="324"/>
      <c r="C147" s="289" t="s">
        <v>349</v>
      </c>
      <c r="D147" s="270" t="s">
        <v>497</v>
      </c>
      <c r="E147" s="291">
        <v>0</v>
      </c>
      <c r="F147" s="291">
        <v>0</v>
      </c>
      <c r="G147" s="264" t="e">
        <f t="shared" si="4"/>
        <v>#DIV/0!</v>
      </c>
    </row>
    <row r="148" spans="1:7" s="269" customFormat="1" ht="27.75" customHeight="1" hidden="1">
      <c r="A148" s="323"/>
      <c r="B148" s="324"/>
      <c r="C148" s="289"/>
      <c r="D148" s="296" t="s">
        <v>83</v>
      </c>
      <c r="E148" s="291"/>
      <c r="F148" s="291"/>
      <c r="G148" s="264"/>
    </row>
    <row r="149" spans="1:7" ht="17.25" customHeight="1" hidden="1">
      <c r="A149" s="298"/>
      <c r="B149" s="299" t="s">
        <v>1454</v>
      </c>
      <c r="C149" s="305"/>
      <c r="D149" s="307" t="s">
        <v>1455</v>
      </c>
      <c r="E149" s="302">
        <f>SUM(E150)</f>
        <v>0</v>
      </c>
      <c r="F149" s="302">
        <f>SUM(F150)</f>
        <v>0</v>
      </c>
      <c r="G149" s="257" t="e">
        <f t="shared" si="4"/>
        <v>#DIV/0!</v>
      </c>
    </row>
    <row r="150" spans="1:7" s="269" customFormat="1" ht="57.75" customHeight="1" hidden="1">
      <c r="A150" s="288"/>
      <c r="B150" s="289"/>
      <c r="C150" s="261">
        <v>2010</v>
      </c>
      <c r="D150" s="262" t="s">
        <v>218</v>
      </c>
      <c r="E150" s="291">
        <v>0</v>
      </c>
      <c r="F150" s="291">
        <v>0</v>
      </c>
      <c r="G150" s="264" t="e">
        <f t="shared" si="4"/>
        <v>#DIV/0!</v>
      </c>
    </row>
    <row r="151" spans="1:7" ht="18" customHeight="1">
      <c r="A151" s="298"/>
      <c r="B151" s="299" t="s">
        <v>234</v>
      </c>
      <c r="C151" s="300"/>
      <c r="D151" s="301" t="s">
        <v>84</v>
      </c>
      <c r="E151" s="302">
        <f>E152</f>
        <v>350000</v>
      </c>
      <c r="F151" s="302">
        <f>F152</f>
        <v>88330.87</v>
      </c>
      <c r="G151" s="257">
        <f t="shared" si="4"/>
        <v>25.237391428571428</v>
      </c>
    </row>
    <row r="152" spans="1:7" s="269" customFormat="1" ht="27" customHeight="1">
      <c r="A152" s="288"/>
      <c r="B152" s="289"/>
      <c r="C152" s="290" t="s">
        <v>386</v>
      </c>
      <c r="D152" s="262" t="s">
        <v>1277</v>
      </c>
      <c r="E152" s="291">
        <v>350000</v>
      </c>
      <c r="F152" s="291">
        <v>88330.87</v>
      </c>
      <c r="G152" s="264">
        <f t="shared" si="4"/>
        <v>25.237391428571428</v>
      </c>
    </row>
    <row r="153" spans="1:8" s="269" customFormat="1" ht="21" customHeight="1" hidden="1">
      <c r="A153" s="298"/>
      <c r="B153" s="299" t="s">
        <v>685</v>
      </c>
      <c r="C153" s="300"/>
      <c r="D153" s="301" t="s">
        <v>1358</v>
      </c>
      <c r="E153" s="302">
        <f>SUM(E154,E155,E156)</f>
        <v>0</v>
      </c>
      <c r="F153" s="302">
        <f>SUM(F154,F155,F156)</f>
        <v>0</v>
      </c>
      <c r="G153" s="257" t="e">
        <f>F153/E153*100</f>
        <v>#DIV/0!</v>
      </c>
      <c r="H153" s="278"/>
    </row>
    <row r="154" spans="1:7" s="269" customFormat="1" ht="22.5" customHeight="1" hidden="1">
      <c r="A154" s="288"/>
      <c r="B154" s="289"/>
      <c r="C154" s="290" t="s">
        <v>385</v>
      </c>
      <c r="D154" s="262" t="s">
        <v>109</v>
      </c>
      <c r="E154" s="291">
        <v>0</v>
      </c>
      <c r="F154" s="291">
        <v>0</v>
      </c>
      <c r="G154" s="264" t="e">
        <f>F154/E154*100</f>
        <v>#DIV/0!</v>
      </c>
    </row>
    <row r="155" spans="1:7" s="269" customFormat="1" ht="51.75" customHeight="1" hidden="1">
      <c r="A155" s="288"/>
      <c r="B155" s="289"/>
      <c r="C155" s="290" t="s">
        <v>529</v>
      </c>
      <c r="D155" s="262" t="s">
        <v>65</v>
      </c>
      <c r="E155" s="291">
        <v>0</v>
      </c>
      <c r="F155" s="291">
        <v>0</v>
      </c>
      <c r="G155" s="264" t="e">
        <f>F155/E155*100</f>
        <v>#DIV/0!</v>
      </c>
    </row>
    <row r="156" spans="1:7" s="269" customFormat="1" ht="54" customHeight="1" hidden="1">
      <c r="A156" s="288"/>
      <c r="B156" s="289"/>
      <c r="C156" s="290" t="s">
        <v>530</v>
      </c>
      <c r="D156" s="262" t="s">
        <v>76</v>
      </c>
      <c r="E156" s="291">
        <v>0</v>
      </c>
      <c r="F156" s="291">
        <v>0</v>
      </c>
      <c r="G156" s="264" t="e">
        <f>F156/E156*100</f>
        <v>#DIV/0!</v>
      </c>
    </row>
    <row r="157" spans="1:7" s="274" customFormat="1" ht="69" customHeight="1">
      <c r="A157" s="317" t="s">
        <v>201</v>
      </c>
      <c r="B157" s="304"/>
      <c r="C157" s="304"/>
      <c r="D157" s="319" t="s">
        <v>639</v>
      </c>
      <c r="E157" s="284">
        <f>SUM(E158,E161,E171,E184,E194)</f>
        <v>77385996</v>
      </c>
      <c r="F157" s="284">
        <f>SUM(F158,F161,F171,F184,F194)</f>
        <v>33915306.65</v>
      </c>
      <c r="G157" s="251">
        <f t="shared" si="4"/>
        <v>43.82615512243326</v>
      </c>
    </row>
    <row r="158" spans="1:7" ht="19.5" customHeight="1">
      <c r="A158" s="298"/>
      <c r="B158" s="299" t="s">
        <v>118</v>
      </c>
      <c r="C158" s="299"/>
      <c r="D158" s="307" t="s">
        <v>119</v>
      </c>
      <c r="E158" s="302">
        <f>E159+E160</f>
        <v>400000</v>
      </c>
      <c r="F158" s="302">
        <f>F159+F160</f>
        <v>102001.76999999999</v>
      </c>
      <c r="G158" s="257">
        <f t="shared" si="4"/>
        <v>25.5004425</v>
      </c>
    </row>
    <row r="159" spans="1:7" s="269" customFormat="1" ht="29.25" customHeight="1">
      <c r="A159" s="288"/>
      <c r="B159" s="289"/>
      <c r="C159" s="289" t="s">
        <v>396</v>
      </c>
      <c r="D159" s="262" t="s">
        <v>341</v>
      </c>
      <c r="E159" s="291">
        <v>400000</v>
      </c>
      <c r="F159" s="268">
        <v>99408.12</v>
      </c>
      <c r="G159" s="264">
        <f t="shared" si="4"/>
        <v>24.85203</v>
      </c>
    </row>
    <row r="160" spans="1:7" s="269" customFormat="1" ht="29.25" customHeight="1">
      <c r="A160" s="288"/>
      <c r="B160" s="289"/>
      <c r="C160" s="290" t="s">
        <v>397</v>
      </c>
      <c r="D160" s="262" t="s">
        <v>335</v>
      </c>
      <c r="E160" s="291">
        <v>0</v>
      </c>
      <c r="F160" s="268">
        <v>2593.65</v>
      </c>
      <c r="G160" s="264" t="s">
        <v>144</v>
      </c>
    </row>
    <row r="161" spans="1:7" ht="57.75" customHeight="1">
      <c r="A161" s="298"/>
      <c r="B161" s="316" t="s">
        <v>245</v>
      </c>
      <c r="C161" s="299"/>
      <c r="D161" s="301" t="s">
        <v>635</v>
      </c>
      <c r="E161" s="302">
        <f>SUM(E162,E163,E164,E165,E166,E167,E168,E169,E170)</f>
        <v>25969078</v>
      </c>
      <c r="F161" s="302">
        <f>SUM(F162,F163,F164,F165,F166,F167,F168,F169,F170)</f>
        <v>12382893.14</v>
      </c>
      <c r="G161" s="257">
        <f aca="true" t="shared" si="5" ref="G161:G166">F161/E161*100</f>
        <v>47.68322209976034</v>
      </c>
    </row>
    <row r="162" spans="1:7" s="269" customFormat="1" ht="19.5" customHeight="1">
      <c r="A162" s="288"/>
      <c r="B162" s="289"/>
      <c r="C162" s="289" t="s">
        <v>398</v>
      </c>
      <c r="D162" s="308" t="s">
        <v>120</v>
      </c>
      <c r="E162" s="291">
        <v>24750000</v>
      </c>
      <c r="F162" s="291">
        <v>11972389.67</v>
      </c>
      <c r="G162" s="264">
        <f t="shared" si="5"/>
        <v>48.37329159595959</v>
      </c>
    </row>
    <row r="163" spans="1:7" s="269" customFormat="1" ht="19.5" customHeight="1">
      <c r="A163" s="288"/>
      <c r="B163" s="289"/>
      <c r="C163" s="289" t="s">
        <v>399</v>
      </c>
      <c r="D163" s="308" t="s">
        <v>121</v>
      </c>
      <c r="E163" s="291">
        <v>12000</v>
      </c>
      <c r="F163" s="291">
        <v>4646.5</v>
      </c>
      <c r="G163" s="264">
        <f t="shared" si="5"/>
        <v>38.72083333333333</v>
      </c>
    </row>
    <row r="164" spans="1:7" s="269" customFormat="1" ht="19.5" customHeight="1">
      <c r="A164" s="288"/>
      <c r="B164" s="289"/>
      <c r="C164" s="289" t="s">
        <v>400</v>
      </c>
      <c r="D164" s="308" t="s">
        <v>122</v>
      </c>
      <c r="E164" s="291">
        <v>70000</v>
      </c>
      <c r="F164" s="291">
        <v>38984</v>
      </c>
      <c r="G164" s="264">
        <f t="shared" si="5"/>
        <v>55.69142857142857</v>
      </c>
    </row>
    <row r="165" spans="1:7" s="269" customFormat="1" ht="19.5" customHeight="1">
      <c r="A165" s="288"/>
      <c r="B165" s="289"/>
      <c r="C165" s="289" t="s">
        <v>406</v>
      </c>
      <c r="D165" s="308" t="s">
        <v>123</v>
      </c>
      <c r="E165" s="291">
        <v>320000</v>
      </c>
      <c r="F165" s="291">
        <v>181317.99</v>
      </c>
      <c r="G165" s="264">
        <f t="shared" si="5"/>
        <v>56.66187187499999</v>
      </c>
    </row>
    <row r="166" spans="1:7" s="269" customFormat="1" ht="19.5" customHeight="1">
      <c r="A166" s="288"/>
      <c r="B166" s="289"/>
      <c r="C166" s="289" t="s">
        <v>407</v>
      </c>
      <c r="D166" s="308" t="s">
        <v>124</v>
      </c>
      <c r="E166" s="291">
        <v>265000</v>
      </c>
      <c r="F166" s="291">
        <v>47177</v>
      </c>
      <c r="G166" s="264">
        <f t="shared" si="5"/>
        <v>17.80264150943396</v>
      </c>
    </row>
    <row r="167" spans="1:7" s="269" customFormat="1" ht="19.5" customHeight="1" hidden="1">
      <c r="A167" s="288"/>
      <c r="B167" s="289"/>
      <c r="C167" s="289"/>
      <c r="D167" s="308"/>
      <c r="E167" s="291"/>
      <c r="F167" s="291"/>
      <c r="G167" s="264"/>
    </row>
    <row r="168" spans="1:7" s="269" customFormat="1" ht="19.5" customHeight="1" hidden="1">
      <c r="A168" s="288"/>
      <c r="B168" s="289"/>
      <c r="C168" s="289" t="s">
        <v>1197</v>
      </c>
      <c r="D168" s="308" t="s">
        <v>60</v>
      </c>
      <c r="E168" s="291">
        <v>0</v>
      </c>
      <c r="F168" s="291">
        <v>0</v>
      </c>
      <c r="G168" s="264" t="s">
        <v>144</v>
      </c>
    </row>
    <row r="169" spans="1:7" s="269" customFormat="1" ht="28.5" customHeight="1">
      <c r="A169" s="288"/>
      <c r="B169" s="289"/>
      <c r="C169" s="289" t="s">
        <v>397</v>
      </c>
      <c r="D169" s="262" t="s">
        <v>335</v>
      </c>
      <c r="E169" s="291">
        <v>290000</v>
      </c>
      <c r="F169" s="291">
        <v>14243.98</v>
      </c>
      <c r="G169" s="264">
        <f aca="true" t="shared" si="6" ref="G169:G180">F169/E169*100</f>
        <v>4.911717241379311</v>
      </c>
    </row>
    <row r="170" spans="1:7" s="269" customFormat="1" ht="28.5" customHeight="1">
      <c r="A170" s="288"/>
      <c r="B170" s="289"/>
      <c r="C170" s="289" t="s">
        <v>988</v>
      </c>
      <c r="D170" s="262" t="s">
        <v>989</v>
      </c>
      <c r="E170" s="291">
        <v>262078</v>
      </c>
      <c r="F170" s="291">
        <v>124134</v>
      </c>
      <c r="G170" s="264">
        <f t="shared" si="6"/>
        <v>47.365288196643746</v>
      </c>
    </row>
    <row r="171" spans="1:7" ht="56.25" customHeight="1">
      <c r="A171" s="298"/>
      <c r="B171" s="299" t="s">
        <v>371</v>
      </c>
      <c r="C171" s="299"/>
      <c r="D171" s="301" t="s">
        <v>372</v>
      </c>
      <c r="E171" s="302">
        <f>SUM(E172,E173,E174,E175,E176,E177,E178,E179,E180,E181,E183)</f>
        <v>15350600</v>
      </c>
      <c r="F171" s="302">
        <f>SUM(F172,F173,F174,F175,F176,F177,F178,F179,F180,F181,F183)</f>
        <v>7524300.38</v>
      </c>
      <c r="G171" s="257">
        <f t="shared" si="6"/>
        <v>49.016327570257836</v>
      </c>
    </row>
    <row r="172" spans="1:7" s="269" customFormat="1" ht="21" customHeight="1">
      <c r="A172" s="288"/>
      <c r="B172" s="289"/>
      <c r="C172" s="289" t="s">
        <v>398</v>
      </c>
      <c r="D172" s="308" t="s">
        <v>120</v>
      </c>
      <c r="E172" s="291">
        <v>5800000</v>
      </c>
      <c r="F172" s="291">
        <v>3981708.55</v>
      </c>
      <c r="G172" s="264">
        <f t="shared" si="6"/>
        <v>68.6501474137931</v>
      </c>
    </row>
    <row r="173" spans="1:7" s="269" customFormat="1" ht="21" customHeight="1">
      <c r="A173" s="288"/>
      <c r="B173" s="289"/>
      <c r="C173" s="289" t="s">
        <v>399</v>
      </c>
      <c r="D173" s="308" t="s">
        <v>121</v>
      </c>
      <c r="E173" s="291">
        <v>50000</v>
      </c>
      <c r="F173" s="291">
        <v>35325.74</v>
      </c>
      <c r="G173" s="264">
        <f t="shared" si="6"/>
        <v>70.65148</v>
      </c>
    </row>
    <row r="174" spans="1:7" s="269" customFormat="1" ht="21" customHeight="1">
      <c r="A174" s="288"/>
      <c r="B174" s="289"/>
      <c r="C174" s="289" t="s">
        <v>400</v>
      </c>
      <c r="D174" s="308" t="s">
        <v>122</v>
      </c>
      <c r="E174" s="291">
        <v>600</v>
      </c>
      <c r="F174" s="291">
        <v>401.66</v>
      </c>
      <c r="G174" s="264">
        <f t="shared" si="6"/>
        <v>66.94333333333333</v>
      </c>
    </row>
    <row r="175" spans="1:7" s="269" customFormat="1" ht="21" customHeight="1">
      <c r="A175" s="288"/>
      <c r="B175" s="289"/>
      <c r="C175" s="289" t="s">
        <v>406</v>
      </c>
      <c r="D175" s="308" t="s">
        <v>123</v>
      </c>
      <c r="E175" s="291">
        <v>200000</v>
      </c>
      <c r="F175" s="291">
        <v>122704.8</v>
      </c>
      <c r="G175" s="264">
        <f t="shared" si="6"/>
        <v>61.35240000000001</v>
      </c>
    </row>
    <row r="176" spans="1:7" s="269" customFormat="1" ht="21" customHeight="1">
      <c r="A176" s="288"/>
      <c r="B176" s="289"/>
      <c r="C176" s="289" t="s">
        <v>408</v>
      </c>
      <c r="D176" s="308" t="s">
        <v>125</v>
      </c>
      <c r="E176" s="291">
        <v>250000</v>
      </c>
      <c r="F176" s="268">
        <v>50445.09</v>
      </c>
      <c r="G176" s="264">
        <f t="shared" si="6"/>
        <v>20.178036</v>
      </c>
    </row>
    <row r="177" spans="1:7" s="269" customFormat="1" ht="21" customHeight="1">
      <c r="A177" s="288"/>
      <c r="B177" s="289"/>
      <c r="C177" s="289" t="s">
        <v>412</v>
      </c>
      <c r="D177" s="308" t="s">
        <v>413</v>
      </c>
      <c r="E177" s="291">
        <v>80000</v>
      </c>
      <c r="F177" s="268">
        <v>54454.31</v>
      </c>
      <c r="G177" s="264">
        <f t="shared" si="6"/>
        <v>68.0678875</v>
      </c>
    </row>
    <row r="178" spans="1:7" s="269" customFormat="1" ht="39" customHeight="1">
      <c r="A178" s="288"/>
      <c r="B178" s="289"/>
      <c r="C178" s="289" t="s">
        <v>1279</v>
      </c>
      <c r="D178" s="262" t="s">
        <v>340</v>
      </c>
      <c r="E178" s="291">
        <v>5300000</v>
      </c>
      <c r="F178" s="291">
        <v>1977542.75</v>
      </c>
      <c r="G178" s="264">
        <f t="shared" si="6"/>
        <v>37.312127358490564</v>
      </c>
    </row>
    <row r="179" spans="1:7" s="269" customFormat="1" ht="21" customHeight="1">
      <c r="A179" s="288"/>
      <c r="B179" s="289"/>
      <c r="C179" s="289" t="s">
        <v>427</v>
      </c>
      <c r="D179" s="308" t="s">
        <v>126</v>
      </c>
      <c r="E179" s="291">
        <v>600000</v>
      </c>
      <c r="F179" s="291">
        <v>279930.5</v>
      </c>
      <c r="G179" s="264">
        <f t="shared" si="6"/>
        <v>46.65508333333334</v>
      </c>
    </row>
    <row r="180" spans="1:7" s="269" customFormat="1" ht="21" customHeight="1">
      <c r="A180" s="288"/>
      <c r="B180" s="289"/>
      <c r="C180" s="289" t="s">
        <v>407</v>
      </c>
      <c r="D180" s="308" t="s">
        <v>124</v>
      </c>
      <c r="E180" s="291">
        <v>3000000</v>
      </c>
      <c r="F180" s="268">
        <v>988620.9</v>
      </c>
      <c r="G180" s="264">
        <f t="shared" si="6"/>
        <v>32.95403</v>
      </c>
    </row>
    <row r="181" spans="1:8" s="269" customFormat="1" ht="21" customHeight="1">
      <c r="A181" s="288"/>
      <c r="B181" s="289"/>
      <c r="C181" s="325" t="s">
        <v>1197</v>
      </c>
      <c r="D181" s="308" t="s">
        <v>60</v>
      </c>
      <c r="E181" s="291">
        <v>0</v>
      </c>
      <c r="F181" s="291">
        <v>8</v>
      </c>
      <c r="G181" s="264" t="s">
        <v>144</v>
      </c>
      <c r="H181" s="326"/>
    </row>
    <row r="182" spans="1:7" s="269" customFormat="1" ht="27.75" customHeight="1" hidden="1">
      <c r="A182" s="288"/>
      <c r="B182" s="289"/>
      <c r="C182" s="289" t="s">
        <v>104</v>
      </c>
      <c r="D182" s="262" t="s">
        <v>1117</v>
      </c>
      <c r="E182" s="291">
        <v>0</v>
      </c>
      <c r="F182" s="268"/>
      <c r="G182" s="264" t="s">
        <v>144</v>
      </c>
    </row>
    <row r="183" spans="1:7" s="269" customFormat="1" ht="28.5" customHeight="1">
      <c r="A183" s="288"/>
      <c r="B183" s="289"/>
      <c r="C183" s="289" t="s">
        <v>397</v>
      </c>
      <c r="D183" s="262" t="s">
        <v>335</v>
      </c>
      <c r="E183" s="291">
        <v>70000</v>
      </c>
      <c r="F183" s="291">
        <v>33158.08</v>
      </c>
      <c r="G183" s="264">
        <f aca="true" t="shared" si="7" ref="G183:G191">F183/E183*100</f>
        <v>47.36868571428572</v>
      </c>
    </row>
    <row r="184" spans="1:7" ht="41.25" customHeight="1">
      <c r="A184" s="298"/>
      <c r="B184" s="299" t="s">
        <v>127</v>
      </c>
      <c r="C184" s="299"/>
      <c r="D184" s="301" t="s">
        <v>226</v>
      </c>
      <c r="E184" s="302">
        <f>SUM(E185,E186,E187,E188,E189,E190,E191,E192,E193)</f>
        <v>6660000</v>
      </c>
      <c r="F184" s="302">
        <f>SUM(F185,F186,F187,F188,F189,F190,F191,F192,F193)</f>
        <v>1866880.14</v>
      </c>
      <c r="G184" s="257">
        <f t="shared" si="7"/>
        <v>28.031233333333333</v>
      </c>
    </row>
    <row r="185" spans="1:7" s="269" customFormat="1" ht="19.5" customHeight="1">
      <c r="A185" s="288"/>
      <c r="B185" s="289"/>
      <c r="C185" s="289" t="s">
        <v>428</v>
      </c>
      <c r="D185" s="308" t="s">
        <v>136</v>
      </c>
      <c r="E185" s="291">
        <v>500000</v>
      </c>
      <c r="F185" s="291">
        <v>184429.84</v>
      </c>
      <c r="G185" s="264">
        <f t="shared" si="7"/>
        <v>36.885968</v>
      </c>
    </row>
    <row r="186" spans="1:7" s="269" customFormat="1" ht="19.5" customHeight="1">
      <c r="A186" s="288"/>
      <c r="B186" s="289"/>
      <c r="C186" s="289" t="s">
        <v>430</v>
      </c>
      <c r="D186" s="308" t="s">
        <v>225</v>
      </c>
      <c r="E186" s="291">
        <v>7000</v>
      </c>
      <c r="F186" s="291">
        <v>4711.61</v>
      </c>
      <c r="G186" s="264">
        <f t="shared" si="7"/>
        <v>67.30871428571427</v>
      </c>
    </row>
    <row r="187" spans="1:7" s="269" customFormat="1" ht="27" customHeight="1">
      <c r="A187" s="288"/>
      <c r="B187" s="289"/>
      <c r="C187" s="289" t="s">
        <v>431</v>
      </c>
      <c r="D187" s="262" t="s">
        <v>61</v>
      </c>
      <c r="E187" s="291">
        <v>1700000</v>
      </c>
      <c r="F187" s="291">
        <v>1328551.46</v>
      </c>
      <c r="G187" s="264">
        <f t="shared" si="7"/>
        <v>78.15008588235294</v>
      </c>
    </row>
    <row r="188" spans="1:7" s="269" customFormat="1" ht="46.5" customHeight="1">
      <c r="A188" s="288"/>
      <c r="B188" s="289"/>
      <c r="C188" s="289" t="s">
        <v>393</v>
      </c>
      <c r="D188" s="262" t="s">
        <v>252</v>
      </c>
      <c r="E188" s="291">
        <v>4443000</v>
      </c>
      <c r="F188" s="291">
        <v>340300.63</v>
      </c>
      <c r="G188" s="264">
        <f t="shared" si="7"/>
        <v>7.659253432365519</v>
      </c>
    </row>
    <row r="189" spans="1:7" s="269" customFormat="1" ht="29.25" customHeight="1">
      <c r="A189" s="288"/>
      <c r="B189" s="289"/>
      <c r="C189" s="289" t="s">
        <v>386</v>
      </c>
      <c r="D189" s="262" t="s">
        <v>1277</v>
      </c>
      <c r="E189" s="291">
        <v>0</v>
      </c>
      <c r="F189" s="291">
        <v>1036.2</v>
      </c>
      <c r="G189" s="264" t="s">
        <v>144</v>
      </c>
    </row>
    <row r="190" spans="1:7" s="269" customFormat="1" ht="19.5" customHeight="1">
      <c r="A190" s="288"/>
      <c r="B190" s="289"/>
      <c r="C190" s="290" t="s">
        <v>432</v>
      </c>
      <c r="D190" s="262" t="s">
        <v>220</v>
      </c>
      <c r="E190" s="291">
        <v>10000</v>
      </c>
      <c r="F190" s="291">
        <v>6921</v>
      </c>
      <c r="G190" s="264">
        <f t="shared" si="7"/>
        <v>69.21000000000001</v>
      </c>
    </row>
    <row r="191" spans="1:7" s="269" customFormat="1" ht="19.5" customHeight="1" hidden="1">
      <c r="A191" s="288"/>
      <c r="B191" s="289"/>
      <c r="C191" s="290" t="s">
        <v>387</v>
      </c>
      <c r="D191" s="262" t="s">
        <v>106</v>
      </c>
      <c r="E191" s="291">
        <v>0</v>
      </c>
      <c r="F191" s="291">
        <v>0</v>
      </c>
      <c r="G191" s="264" t="e">
        <f t="shared" si="7"/>
        <v>#DIV/0!</v>
      </c>
    </row>
    <row r="192" spans="1:7" s="269" customFormat="1" ht="27.75" customHeight="1" hidden="1">
      <c r="A192" s="288"/>
      <c r="B192" s="289"/>
      <c r="C192" s="290" t="s">
        <v>397</v>
      </c>
      <c r="D192" s="262" t="s">
        <v>335</v>
      </c>
      <c r="E192" s="291">
        <v>0</v>
      </c>
      <c r="F192" s="291">
        <v>0</v>
      </c>
      <c r="G192" s="257" t="s">
        <v>144</v>
      </c>
    </row>
    <row r="193" spans="1:7" s="329" customFormat="1" ht="19.5" customHeight="1">
      <c r="A193" s="312"/>
      <c r="B193" s="313"/>
      <c r="C193" s="327" t="s">
        <v>384</v>
      </c>
      <c r="D193" s="328" t="s">
        <v>110</v>
      </c>
      <c r="E193" s="315">
        <v>0</v>
      </c>
      <c r="F193" s="315">
        <v>929.4</v>
      </c>
      <c r="G193" s="281" t="s">
        <v>144</v>
      </c>
    </row>
    <row r="194" spans="1:7" ht="30" customHeight="1">
      <c r="A194" s="298"/>
      <c r="B194" s="299" t="s">
        <v>137</v>
      </c>
      <c r="C194" s="299"/>
      <c r="D194" s="301" t="s">
        <v>138</v>
      </c>
      <c r="E194" s="302">
        <f>E195+E196</f>
        <v>29006318</v>
      </c>
      <c r="F194" s="302">
        <f>F195+F196</f>
        <v>12039231.22</v>
      </c>
      <c r="G194" s="257">
        <f aca="true" t="shared" si="8" ref="G194:G203">F194/E194*100</f>
        <v>41.50554792924769</v>
      </c>
    </row>
    <row r="195" spans="1:7" s="269" customFormat="1" ht="19.5" customHeight="1">
      <c r="A195" s="288"/>
      <c r="B195" s="289"/>
      <c r="C195" s="289" t="s">
        <v>433</v>
      </c>
      <c r="D195" s="308" t="s">
        <v>141</v>
      </c>
      <c r="E195" s="291">
        <v>27706318</v>
      </c>
      <c r="F195" s="268">
        <v>11559996</v>
      </c>
      <c r="G195" s="264">
        <f t="shared" si="8"/>
        <v>41.723321012918426</v>
      </c>
    </row>
    <row r="196" spans="1:7" s="269" customFormat="1" ht="19.5" customHeight="1">
      <c r="A196" s="288"/>
      <c r="B196" s="289"/>
      <c r="C196" s="289" t="s">
        <v>434</v>
      </c>
      <c r="D196" s="308" t="s">
        <v>145</v>
      </c>
      <c r="E196" s="291">
        <v>1300000</v>
      </c>
      <c r="F196" s="268">
        <v>479235.22</v>
      </c>
      <c r="G196" s="264">
        <f t="shared" si="8"/>
        <v>36.864247692307686</v>
      </c>
    </row>
    <row r="197" spans="1:7" s="274" customFormat="1" ht="19.5" customHeight="1">
      <c r="A197" s="303" t="s">
        <v>1457</v>
      </c>
      <c r="B197" s="304"/>
      <c r="C197" s="304"/>
      <c r="D197" s="306" t="s">
        <v>1458</v>
      </c>
      <c r="E197" s="284">
        <f>SUM(E198,E200,E202)</f>
        <v>22259702</v>
      </c>
      <c r="F197" s="284">
        <f>SUM(F198,F200,F202)</f>
        <v>14155963.06</v>
      </c>
      <c r="G197" s="251">
        <f t="shared" si="8"/>
        <v>63.5945757944109</v>
      </c>
    </row>
    <row r="198" spans="1:7" ht="30.75" customHeight="1">
      <c r="A198" s="298"/>
      <c r="B198" s="299" t="s">
        <v>147</v>
      </c>
      <c r="C198" s="299"/>
      <c r="D198" s="301" t="s">
        <v>149</v>
      </c>
      <c r="E198" s="302">
        <f>E199</f>
        <v>16402351</v>
      </c>
      <c r="F198" s="302">
        <f>F199</f>
        <v>10093752</v>
      </c>
      <c r="G198" s="257">
        <f t="shared" si="8"/>
        <v>61.53844653123202</v>
      </c>
    </row>
    <row r="199" spans="1:7" s="274" customFormat="1" ht="19.5" customHeight="1">
      <c r="A199" s="303"/>
      <c r="B199" s="304"/>
      <c r="C199" s="289" t="s">
        <v>435</v>
      </c>
      <c r="D199" s="262" t="s">
        <v>222</v>
      </c>
      <c r="E199" s="291">
        <v>16402351</v>
      </c>
      <c r="F199" s="291">
        <v>10093752</v>
      </c>
      <c r="G199" s="264">
        <f t="shared" si="8"/>
        <v>61.53844653123202</v>
      </c>
    </row>
    <row r="200" spans="1:7" ht="30.75" customHeight="1" hidden="1">
      <c r="A200" s="298"/>
      <c r="B200" s="299" t="s">
        <v>151</v>
      </c>
      <c r="C200" s="299"/>
      <c r="D200" s="301" t="s">
        <v>1127</v>
      </c>
      <c r="E200" s="302">
        <f>E201</f>
        <v>0</v>
      </c>
      <c r="F200" s="302">
        <f>F201</f>
        <v>0</v>
      </c>
      <c r="G200" s="257" t="e">
        <f t="shared" si="8"/>
        <v>#DIV/0!</v>
      </c>
    </row>
    <row r="201" spans="1:7" s="274" customFormat="1" ht="19.5" customHeight="1" hidden="1">
      <c r="A201" s="303"/>
      <c r="B201" s="304"/>
      <c r="C201" s="289" t="s">
        <v>1128</v>
      </c>
      <c r="D201" s="262" t="s">
        <v>1129</v>
      </c>
      <c r="E201" s="291">
        <v>0</v>
      </c>
      <c r="F201" s="291">
        <v>0</v>
      </c>
      <c r="G201" s="264" t="e">
        <f t="shared" si="8"/>
        <v>#DIV/0!</v>
      </c>
    </row>
    <row r="202" spans="1:7" ht="19.5" customHeight="1">
      <c r="A202" s="298"/>
      <c r="B202" s="299" t="s">
        <v>152</v>
      </c>
      <c r="C202" s="299"/>
      <c r="D202" s="307" t="s">
        <v>153</v>
      </c>
      <c r="E202" s="302">
        <f>SUM(E204,E205,E206,E207,E208,E209,E210,E211,E212,E213,E214)</f>
        <v>5857351</v>
      </c>
      <c r="F202" s="302">
        <f>SUM(F204,F205,F206,F207,F208,F209,F210,F211,F212,F213,F214)</f>
        <v>4062211.06</v>
      </c>
      <c r="G202" s="257">
        <f t="shared" si="8"/>
        <v>69.3523584296041</v>
      </c>
    </row>
    <row r="203" spans="1:7" s="269" customFormat="1" ht="30" customHeight="1" hidden="1">
      <c r="A203" s="288"/>
      <c r="B203" s="289"/>
      <c r="C203" s="289" t="s">
        <v>1276</v>
      </c>
      <c r="D203" s="262" t="s">
        <v>1275</v>
      </c>
      <c r="E203" s="291">
        <v>0</v>
      </c>
      <c r="F203" s="291">
        <v>0</v>
      </c>
      <c r="G203" s="257" t="e">
        <f t="shared" si="8"/>
        <v>#DIV/0!</v>
      </c>
    </row>
    <row r="204" spans="1:7" s="269" customFormat="1" ht="18.75" customHeight="1">
      <c r="A204" s="288"/>
      <c r="B204" s="289"/>
      <c r="C204" s="289" t="s">
        <v>387</v>
      </c>
      <c r="D204" s="262" t="s">
        <v>106</v>
      </c>
      <c r="E204" s="291">
        <v>0</v>
      </c>
      <c r="F204" s="291">
        <v>153</v>
      </c>
      <c r="G204" s="264" t="s">
        <v>144</v>
      </c>
    </row>
    <row r="205" spans="1:7" s="269" customFormat="1" ht="18.75" customHeight="1" hidden="1">
      <c r="A205" s="288"/>
      <c r="B205" s="289"/>
      <c r="C205" s="289" t="s">
        <v>383</v>
      </c>
      <c r="D205" s="262" t="s">
        <v>156</v>
      </c>
      <c r="E205" s="291">
        <v>0</v>
      </c>
      <c r="F205" s="291">
        <v>0</v>
      </c>
      <c r="G205" s="264" t="s">
        <v>144</v>
      </c>
    </row>
    <row r="206" spans="1:7" s="269" customFormat="1" ht="18.75" customHeight="1" hidden="1">
      <c r="A206" s="288"/>
      <c r="B206" s="289"/>
      <c r="C206" s="289" t="s">
        <v>369</v>
      </c>
      <c r="D206" s="270" t="s">
        <v>368</v>
      </c>
      <c r="E206" s="291">
        <v>0</v>
      </c>
      <c r="F206" s="291">
        <v>0</v>
      </c>
      <c r="G206" s="264" t="s">
        <v>144</v>
      </c>
    </row>
    <row r="207" spans="1:7" s="269" customFormat="1" ht="18.75" customHeight="1">
      <c r="A207" s="288"/>
      <c r="B207" s="289"/>
      <c r="C207" s="289" t="s">
        <v>384</v>
      </c>
      <c r="D207" s="308" t="s">
        <v>154</v>
      </c>
      <c r="E207" s="291">
        <v>86351</v>
      </c>
      <c r="F207" s="291">
        <v>136179.74</v>
      </c>
      <c r="G207" s="264">
        <f aca="true" t="shared" si="9" ref="G207:G212">F207/E207*100</f>
        <v>157.70487892439</v>
      </c>
    </row>
    <row r="208" spans="1:7" s="269" customFormat="1" ht="26.25" customHeight="1" hidden="1">
      <c r="A208" s="288"/>
      <c r="B208" s="289"/>
      <c r="C208" s="289" t="s">
        <v>350</v>
      </c>
      <c r="D208" s="1402" t="s">
        <v>351</v>
      </c>
      <c r="E208" s="291">
        <v>0</v>
      </c>
      <c r="F208" s="291">
        <v>0</v>
      </c>
      <c r="G208" s="264" t="e">
        <f t="shared" si="9"/>
        <v>#DIV/0!</v>
      </c>
    </row>
    <row r="209" spans="1:7" s="269" customFormat="1" ht="18" customHeight="1">
      <c r="A209" s="288"/>
      <c r="B209" s="289"/>
      <c r="C209" s="290" t="s">
        <v>385</v>
      </c>
      <c r="D209" s="262" t="s">
        <v>109</v>
      </c>
      <c r="E209" s="291">
        <v>2300000</v>
      </c>
      <c r="F209" s="291">
        <v>455786</v>
      </c>
      <c r="G209" s="264">
        <f t="shared" si="9"/>
        <v>19.81678260869565</v>
      </c>
    </row>
    <row r="210" spans="1:7" s="269" customFormat="1" ht="41.25" customHeight="1" hidden="1">
      <c r="A210" s="288"/>
      <c r="B210" s="289"/>
      <c r="C210" s="290" t="s">
        <v>439</v>
      </c>
      <c r="D210" s="262" t="s">
        <v>224</v>
      </c>
      <c r="E210" s="291">
        <v>0</v>
      </c>
      <c r="F210" s="291">
        <v>0</v>
      </c>
      <c r="G210" s="264" t="e">
        <f t="shared" si="9"/>
        <v>#DIV/0!</v>
      </c>
    </row>
    <row r="211" spans="1:7" s="269" customFormat="1" ht="41.25" customHeight="1">
      <c r="A211" s="288"/>
      <c r="B211" s="289"/>
      <c r="C211" s="290" t="s">
        <v>1369</v>
      </c>
      <c r="D211" s="270" t="s">
        <v>689</v>
      </c>
      <c r="E211" s="291">
        <v>0</v>
      </c>
      <c r="F211" s="291">
        <v>169.32</v>
      </c>
      <c r="G211" s="264" t="s">
        <v>144</v>
      </c>
    </row>
    <row r="212" spans="1:7" s="269" customFormat="1" ht="27" customHeight="1">
      <c r="A212" s="288"/>
      <c r="B212" s="289"/>
      <c r="C212" s="290" t="s">
        <v>414</v>
      </c>
      <c r="D212" s="262" t="s">
        <v>415</v>
      </c>
      <c r="E212" s="291">
        <v>3471000</v>
      </c>
      <c r="F212" s="291">
        <v>3469923</v>
      </c>
      <c r="G212" s="264">
        <f t="shared" si="9"/>
        <v>99.96897147796024</v>
      </c>
    </row>
    <row r="213" spans="1:7" s="269" customFormat="1" ht="40.5" customHeight="1" hidden="1">
      <c r="A213" s="288"/>
      <c r="B213" s="289"/>
      <c r="C213" s="290" t="s">
        <v>1238</v>
      </c>
      <c r="D213" s="262" t="s">
        <v>1240</v>
      </c>
      <c r="E213" s="291">
        <v>0</v>
      </c>
      <c r="F213" s="291">
        <v>0</v>
      </c>
      <c r="G213" s="264" t="s">
        <v>144</v>
      </c>
    </row>
    <row r="214" spans="1:7" s="269" customFormat="1" ht="42.75" customHeight="1" hidden="1">
      <c r="A214" s="288"/>
      <c r="B214" s="289"/>
      <c r="C214" s="290" t="s">
        <v>1239</v>
      </c>
      <c r="D214" s="262" t="s">
        <v>1240</v>
      </c>
      <c r="E214" s="291">
        <v>0</v>
      </c>
      <c r="F214" s="291">
        <v>0</v>
      </c>
      <c r="G214" s="264" t="s">
        <v>144</v>
      </c>
    </row>
    <row r="215" spans="1:7" s="274" customFormat="1" ht="18.75" customHeight="1">
      <c r="A215" s="303" t="s">
        <v>1459</v>
      </c>
      <c r="B215" s="304"/>
      <c r="C215" s="304"/>
      <c r="D215" s="306" t="s">
        <v>1460</v>
      </c>
      <c r="E215" s="284">
        <f>SUM(E216,E224,E231,E240)</f>
        <v>3235521</v>
      </c>
      <c r="F215" s="284">
        <f>SUM(F216,F224,F231,F240)</f>
        <v>1136884.6500000001</v>
      </c>
      <c r="G215" s="251">
        <f>F215/E215*100</f>
        <v>35.13760689545826</v>
      </c>
    </row>
    <row r="216" spans="1:7" ht="18.75" customHeight="1">
      <c r="A216" s="298"/>
      <c r="B216" s="299" t="s">
        <v>1461</v>
      </c>
      <c r="C216" s="299"/>
      <c r="D216" s="307" t="s">
        <v>1462</v>
      </c>
      <c r="E216" s="302">
        <f>SUM(E217,E218,E219,E221,E223)</f>
        <v>1713945</v>
      </c>
      <c r="F216" s="302">
        <f>SUM(F217,F218,F219,F221,F223)</f>
        <v>343682.21</v>
      </c>
      <c r="G216" s="264">
        <f>F216/E216*100</f>
        <v>20.052114274378702</v>
      </c>
    </row>
    <row r="217" spans="1:7" ht="33.75" customHeight="1">
      <c r="A217" s="298"/>
      <c r="B217" s="299"/>
      <c r="C217" s="345" t="s">
        <v>1276</v>
      </c>
      <c r="D217" s="270" t="s">
        <v>1275</v>
      </c>
      <c r="E217" s="268">
        <v>0</v>
      </c>
      <c r="F217" s="268">
        <v>48961.56</v>
      </c>
      <c r="G217" s="264" t="s">
        <v>144</v>
      </c>
    </row>
    <row r="218" spans="1:7" s="269" customFormat="1" ht="47.25" customHeight="1" hidden="1">
      <c r="A218" s="288"/>
      <c r="B218" s="289"/>
      <c r="C218" s="290" t="s">
        <v>439</v>
      </c>
      <c r="D218" s="262" t="s">
        <v>224</v>
      </c>
      <c r="E218" s="291">
        <v>0</v>
      </c>
      <c r="F218" s="291">
        <v>0</v>
      </c>
      <c r="G218" s="264" t="e">
        <f>F218/E218*100</f>
        <v>#DIV/0!</v>
      </c>
    </row>
    <row r="219" spans="1:7" s="269" customFormat="1" ht="68.25" customHeight="1">
      <c r="A219" s="288"/>
      <c r="B219" s="289"/>
      <c r="C219" s="260" t="s">
        <v>346</v>
      </c>
      <c r="D219" s="296" t="s">
        <v>348</v>
      </c>
      <c r="E219" s="268">
        <v>0</v>
      </c>
      <c r="F219" s="268">
        <v>262795.65</v>
      </c>
      <c r="G219" s="257" t="s">
        <v>144</v>
      </c>
    </row>
    <row r="220" spans="1:7" s="269" customFormat="1" ht="30.75" customHeight="1">
      <c r="A220" s="288"/>
      <c r="B220" s="289"/>
      <c r="C220" s="260"/>
      <c r="D220" s="296" t="s">
        <v>83</v>
      </c>
      <c r="E220" s="268"/>
      <c r="F220" s="268"/>
      <c r="G220" s="264"/>
    </row>
    <row r="221" spans="1:7" s="269" customFormat="1" ht="49.5" customHeight="1">
      <c r="A221" s="288"/>
      <c r="B221" s="289"/>
      <c r="C221" s="290" t="s">
        <v>1257</v>
      </c>
      <c r="D221" s="270" t="s">
        <v>497</v>
      </c>
      <c r="E221" s="291">
        <v>1650095</v>
      </c>
      <c r="F221" s="291">
        <v>0</v>
      </c>
      <c r="G221" s="264">
        <f>F221/E221*100</f>
        <v>0</v>
      </c>
    </row>
    <row r="222" spans="1:7" s="269" customFormat="1" ht="66" customHeight="1">
      <c r="A222" s="288"/>
      <c r="B222" s="289"/>
      <c r="C222" s="290"/>
      <c r="D222" s="262" t="s">
        <v>498</v>
      </c>
      <c r="E222" s="291"/>
      <c r="F222" s="291"/>
      <c r="G222" s="264"/>
    </row>
    <row r="223" spans="1:7" s="269" customFormat="1" ht="42" customHeight="1">
      <c r="A223" s="288"/>
      <c r="B223" s="289"/>
      <c r="C223" s="290" t="s">
        <v>436</v>
      </c>
      <c r="D223" s="262" t="s">
        <v>243</v>
      </c>
      <c r="E223" s="291">
        <v>63850</v>
      </c>
      <c r="F223" s="291">
        <v>31925</v>
      </c>
      <c r="G223" s="264">
        <f>F223/E223*100</f>
        <v>50</v>
      </c>
    </row>
    <row r="224" spans="1:7" ht="20.25" customHeight="1">
      <c r="A224" s="298"/>
      <c r="B224" s="299" t="s">
        <v>709</v>
      </c>
      <c r="C224" s="316"/>
      <c r="D224" s="301" t="s">
        <v>710</v>
      </c>
      <c r="E224" s="302">
        <f>SUM(E225,E226,E227,E228,E229,E230)</f>
        <v>1521576</v>
      </c>
      <c r="F224" s="302">
        <f>SUM(F225,F226,F227,F228,F229,F230)</f>
        <v>792973.64</v>
      </c>
      <c r="G224" s="257">
        <f>F224/E224*100</f>
        <v>52.11528310120559</v>
      </c>
    </row>
    <row r="225" spans="1:7" s="269" customFormat="1" ht="29.25" customHeight="1" hidden="1">
      <c r="A225" s="288"/>
      <c r="B225" s="289"/>
      <c r="C225" s="290" t="s">
        <v>386</v>
      </c>
      <c r="D225" s="262" t="s">
        <v>1277</v>
      </c>
      <c r="E225" s="291">
        <v>0</v>
      </c>
      <c r="F225" s="291">
        <v>0</v>
      </c>
      <c r="G225" s="264" t="e">
        <f>F225/E225*100</f>
        <v>#DIV/0!</v>
      </c>
    </row>
    <row r="226" spans="1:7" s="269" customFormat="1" ht="18.75" customHeight="1">
      <c r="A226" s="288"/>
      <c r="B226" s="289"/>
      <c r="C226" s="290" t="s">
        <v>383</v>
      </c>
      <c r="D226" s="262" t="s">
        <v>156</v>
      </c>
      <c r="E226" s="291">
        <v>1521576</v>
      </c>
      <c r="F226" s="291">
        <v>791182.26</v>
      </c>
      <c r="G226" s="264">
        <f>F226/E226*100</f>
        <v>51.99755122320542</v>
      </c>
    </row>
    <row r="227" spans="1:7" s="269" customFormat="1" ht="18.75" customHeight="1">
      <c r="A227" s="288"/>
      <c r="B227" s="289"/>
      <c r="C227" s="289" t="s">
        <v>384</v>
      </c>
      <c r="D227" s="308" t="s">
        <v>154</v>
      </c>
      <c r="E227" s="291">
        <v>0</v>
      </c>
      <c r="F227" s="291">
        <v>1768.88</v>
      </c>
      <c r="G227" s="264" t="s">
        <v>144</v>
      </c>
    </row>
    <row r="228" spans="1:7" s="269" customFormat="1" ht="23.25" customHeight="1">
      <c r="A228" s="288"/>
      <c r="B228" s="289"/>
      <c r="C228" s="290" t="s">
        <v>385</v>
      </c>
      <c r="D228" s="262" t="s">
        <v>109</v>
      </c>
      <c r="E228" s="291">
        <v>0</v>
      </c>
      <c r="F228" s="291">
        <v>22.5</v>
      </c>
      <c r="G228" s="264" t="s">
        <v>144</v>
      </c>
    </row>
    <row r="229" spans="1:7" s="269" customFormat="1" ht="39.75" customHeight="1" hidden="1">
      <c r="A229" s="288"/>
      <c r="B229" s="289"/>
      <c r="C229" s="290" t="s">
        <v>1369</v>
      </c>
      <c r="D229" s="262" t="s">
        <v>352</v>
      </c>
      <c r="E229" s="291">
        <v>0</v>
      </c>
      <c r="F229" s="291">
        <v>0</v>
      </c>
      <c r="G229" s="264" t="s">
        <v>144</v>
      </c>
    </row>
    <row r="230" spans="1:7" s="269" customFormat="1" ht="39.75" customHeight="1" hidden="1">
      <c r="A230" s="288"/>
      <c r="B230" s="289"/>
      <c r="C230" s="290" t="s">
        <v>268</v>
      </c>
      <c r="D230" s="262" t="s">
        <v>273</v>
      </c>
      <c r="E230" s="291">
        <v>0</v>
      </c>
      <c r="F230" s="291">
        <v>0</v>
      </c>
      <c r="G230" s="264" t="e">
        <f>F230/E230*100</f>
        <v>#DIV/0!</v>
      </c>
    </row>
    <row r="231" spans="1:7" s="269" customFormat="1" ht="16.5" customHeight="1" hidden="1">
      <c r="A231" s="298"/>
      <c r="B231" s="299" t="s">
        <v>1463</v>
      </c>
      <c r="C231" s="316"/>
      <c r="D231" s="301" t="s">
        <v>1464</v>
      </c>
      <c r="E231" s="302">
        <f>SUM(E232,E233,E234,E235,E236)</f>
        <v>0</v>
      </c>
      <c r="F231" s="302">
        <f>SUM(F232,F233,F234,F235,F236)</f>
        <v>0</v>
      </c>
      <c r="G231" s="257" t="e">
        <f>F231/E231*100</f>
        <v>#DIV/0!</v>
      </c>
    </row>
    <row r="232" spans="1:7" s="269" customFormat="1" ht="29.25" customHeight="1" hidden="1">
      <c r="A232" s="288"/>
      <c r="B232" s="289"/>
      <c r="C232" s="290" t="s">
        <v>1276</v>
      </c>
      <c r="D232" s="262" t="s">
        <v>1275</v>
      </c>
      <c r="E232" s="291">
        <v>0</v>
      </c>
      <c r="F232" s="291">
        <v>0</v>
      </c>
      <c r="G232" s="264" t="e">
        <f>F232/E232*100</f>
        <v>#DIV/0!</v>
      </c>
    </row>
    <row r="233" spans="1:7" s="269" customFormat="1" ht="18.75" customHeight="1" hidden="1">
      <c r="A233" s="288"/>
      <c r="B233" s="289"/>
      <c r="C233" s="289" t="s">
        <v>387</v>
      </c>
      <c r="D233" s="262" t="s">
        <v>106</v>
      </c>
      <c r="E233" s="291">
        <v>0</v>
      </c>
      <c r="F233" s="291">
        <v>0</v>
      </c>
      <c r="G233" s="264" t="s">
        <v>144</v>
      </c>
    </row>
    <row r="234" spans="1:7" s="269" customFormat="1" ht="16.5" customHeight="1" hidden="1">
      <c r="A234" s="288"/>
      <c r="B234" s="289"/>
      <c r="C234" s="290" t="s">
        <v>385</v>
      </c>
      <c r="D234" s="262" t="s">
        <v>109</v>
      </c>
      <c r="E234" s="291">
        <v>0</v>
      </c>
      <c r="F234" s="291">
        <v>0</v>
      </c>
      <c r="G234" s="322" t="s">
        <v>144</v>
      </c>
    </row>
    <row r="235" spans="1:7" s="269" customFormat="1" ht="42" customHeight="1" hidden="1">
      <c r="A235" s="288"/>
      <c r="B235" s="289"/>
      <c r="C235" s="290" t="s">
        <v>1369</v>
      </c>
      <c r="D235" s="262" t="s">
        <v>352</v>
      </c>
      <c r="E235" s="291">
        <v>0</v>
      </c>
      <c r="F235" s="291">
        <v>0</v>
      </c>
      <c r="G235" s="322" t="s">
        <v>144</v>
      </c>
    </row>
    <row r="236" spans="1:7" s="269" customFormat="1" ht="82.5" customHeight="1" hidden="1">
      <c r="A236" s="288"/>
      <c r="B236" s="289"/>
      <c r="C236" s="289" t="s">
        <v>1334</v>
      </c>
      <c r="D236" s="262" t="s">
        <v>1350</v>
      </c>
      <c r="E236" s="291">
        <v>0</v>
      </c>
      <c r="F236" s="291">
        <v>0</v>
      </c>
      <c r="G236" s="322" t="s">
        <v>144</v>
      </c>
    </row>
    <row r="237" spans="1:7" s="269" customFormat="1" ht="16.5" customHeight="1" hidden="1">
      <c r="A237" s="298"/>
      <c r="B237" s="299" t="s">
        <v>1465</v>
      </c>
      <c r="C237" s="316"/>
      <c r="D237" s="301" t="s">
        <v>326</v>
      </c>
      <c r="E237" s="302">
        <f>SUM(E238,E239)</f>
        <v>0</v>
      </c>
      <c r="F237" s="302">
        <f>SUM(F238,F239)</f>
        <v>0</v>
      </c>
      <c r="G237" s="321" t="s">
        <v>144</v>
      </c>
    </row>
    <row r="238" spans="1:7" s="269" customFormat="1" ht="18.75" customHeight="1" hidden="1">
      <c r="A238" s="288"/>
      <c r="B238" s="289"/>
      <c r="C238" s="289" t="s">
        <v>387</v>
      </c>
      <c r="D238" s="262" t="s">
        <v>106</v>
      </c>
      <c r="E238" s="291">
        <v>0</v>
      </c>
      <c r="F238" s="291">
        <v>0</v>
      </c>
      <c r="G238" s="321" t="s">
        <v>144</v>
      </c>
    </row>
    <row r="239" spans="1:7" s="269" customFormat="1" ht="16.5" customHeight="1" hidden="1">
      <c r="A239" s="288"/>
      <c r="B239" s="289"/>
      <c r="C239" s="290" t="s">
        <v>385</v>
      </c>
      <c r="D239" s="262" t="s">
        <v>109</v>
      </c>
      <c r="E239" s="291">
        <v>0</v>
      </c>
      <c r="F239" s="291">
        <v>0</v>
      </c>
      <c r="G239" s="322" t="s">
        <v>144</v>
      </c>
    </row>
    <row r="240" spans="1:7" s="269" customFormat="1" ht="17.25" customHeight="1">
      <c r="A240" s="298"/>
      <c r="B240" s="299" t="s">
        <v>724</v>
      </c>
      <c r="C240" s="316"/>
      <c r="D240" s="301" t="s">
        <v>1358</v>
      </c>
      <c r="E240" s="302">
        <f>SUM(E241,E242,E243,E244,E245,E246)</f>
        <v>0</v>
      </c>
      <c r="F240" s="302">
        <f>SUM(F241,F242,F243,F244,F245,F246)</f>
        <v>228.8</v>
      </c>
      <c r="G240" s="257" t="s">
        <v>144</v>
      </c>
    </row>
    <row r="241" spans="1:7" s="269" customFormat="1" ht="27.75" customHeight="1">
      <c r="A241" s="288"/>
      <c r="B241" s="289"/>
      <c r="C241" s="290" t="s">
        <v>386</v>
      </c>
      <c r="D241" s="262" t="s">
        <v>1277</v>
      </c>
      <c r="E241" s="291">
        <v>0</v>
      </c>
      <c r="F241" s="291">
        <v>200</v>
      </c>
      <c r="G241" s="322" t="s">
        <v>144</v>
      </c>
    </row>
    <row r="242" spans="1:7" s="269" customFormat="1" ht="17.25" customHeight="1">
      <c r="A242" s="288"/>
      <c r="B242" s="289"/>
      <c r="C242" s="290" t="s">
        <v>387</v>
      </c>
      <c r="D242" s="262" t="s">
        <v>106</v>
      </c>
      <c r="E242" s="291">
        <v>0</v>
      </c>
      <c r="F242" s="291">
        <v>20</v>
      </c>
      <c r="G242" s="322" t="s">
        <v>144</v>
      </c>
    </row>
    <row r="243" spans="1:7" s="269" customFormat="1" ht="17.25" customHeight="1">
      <c r="A243" s="288"/>
      <c r="B243" s="289"/>
      <c r="C243" s="290" t="s">
        <v>384</v>
      </c>
      <c r="D243" s="308" t="s">
        <v>154</v>
      </c>
      <c r="E243" s="291">
        <v>0</v>
      </c>
      <c r="F243" s="291">
        <v>8.8</v>
      </c>
      <c r="G243" s="322" t="s">
        <v>144</v>
      </c>
    </row>
    <row r="244" spans="1:7" s="269" customFormat="1" ht="56.25" customHeight="1" hidden="1">
      <c r="A244" s="288"/>
      <c r="B244" s="289"/>
      <c r="C244" s="290" t="s">
        <v>454</v>
      </c>
      <c r="D244" s="262" t="s">
        <v>218</v>
      </c>
      <c r="E244" s="291">
        <v>0</v>
      </c>
      <c r="F244" s="291">
        <v>0</v>
      </c>
      <c r="G244" s="322" t="e">
        <f>F244/E244*100</f>
        <v>#DIV/0!</v>
      </c>
    </row>
    <row r="245" spans="1:7" s="269" customFormat="1" ht="58.5" customHeight="1" hidden="1">
      <c r="A245" s="288"/>
      <c r="B245" s="289"/>
      <c r="C245" s="290" t="s">
        <v>438</v>
      </c>
      <c r="D245" s="262" t="s">
        <v>231</v>
      </c>
      <c r="E245" s="291">
        <v>0</v>
      </c>
      <c r="F245" s="291">
        <v>0</v>
      </c>
      <c r="G245" s="322" t="e">
        <f>F245/E245*100</f>
        <v>#DIV/0!</v>
      </c>
    </row>
    <row r="246" spans="1:7" s="269" customFormat="1" ht="41.25" customHeight="1" hidden="1">
      <c r="A246" s="288"/>
      <c r="B246" s="289"/>
      <c r="C246" s="290" t="s">
        <v>439</v>
      </c>
      <c r="D246" s="262" t="s">
        <v>224</v>
      </c>
      <c r="E246" s="291">
        <v>0</v>
      </c>
      <c r="F246" s="291">
        <v>0</v>
      </c>
      <c r="G246" s="322" t="e">
        <f>F246/E246*100</f>
        <v>#DIV/0!</v>
      </c>
    </row>
    <row r="247" spans="1:7" s="269" customFormat="1" ht="55.5" customHeight="1" hidden="1">
      <c r="A247" s="288"/>
      <c r="B247" s="289"/>
      <c r="C247" s="290" t="s">
        <v>530</v>
      </c>
      <c r="D247" s="270" t="s">
        <v>142</v>
      </c>
      <c r="E247" s="291">
        <v>0</v>
      </c>
      <c r="F247" s="291">
        <v>0</v>
      </c>
      <c r="G247" s="322" t="s">
        <v>144</v>
      </c>
    </row>
    <row r="248" spans="1:7" s="269" customFormat="1" ht="44.25" customHeight="1" hidden="1">
      <c r="A248" s="288"/>
      <c r="B248" s="289"/>
      <c r="C248" s="290" t="s">
        <v>436</v>
      </c>
      <c r="D248" s="262" t="s">
        <v>243</v>
      </c>
      <c r="E248" s="291">
        <v>0</v>
      </c>
      <c r="F248" s="291">
        <v>0</v>
      </c>
      <c r="G248" s="322" t="e">
        <f>F248/E248*100</f>
        <v>#DIV/0!</v>
      </c>
    </row>
    <row r="249" spans="1:7" ht="19.5" customHeight="1">
      <c r="A249" s="303" t="s">
        <v>1468</v>
      </c>
      <c r="B249" s="304"/>
      <c r="C249" s="305"/>
      <c r="D249" s="306" t="s">
        <v>1469</v>
      </c>
      <c r="E249" s="284">
        <f>SUM(E250,E254,E258,E264)</f>
        <v>7000</v>
      </c>
      <c r="F249" s="284">
        <f>SUM(F250,F254,F258,F264)</f>
        <v>4910.49</v>
      </c>
      <c r="G249" s="251">
        <f>F249/E249*100</f>
        <v>70.14985714285714</v>
      </c>
    </row>
    <row r="250" spans="1:7" ht="18" customHeight="1" hidden="1">
      <c r="A250" s="298"/>
      <c r="B250" s="309" t="s">
        <v>731</v>
      </c>
      <c r="C250" s="309"/>
      <c r="D250" s="333" t="s">
        <v>667</v>
      </c>
      <c r="E250" s="311">
        <f>SUM(E251,E252,E253)</f>
        <v>0</v>
      </c>
      <c r="F250" s="311">
        <f>SUM(F251,F252,F253)</f>
        <v>0</v>
      </c>
      <c r="G250" s="257" t="s">
        <v>144</v>
      </c>
    </row>
    <row r="251" spans="1:7" s="269" customFormat="1" ht="63.75" customHeight="1" hidden="1">
      <c r="A251" s="288"/>
      <c r="B251" s="325"/>
      <c r="C251" s="325" t="s">
        <v>416</v>
      </c>
      <c r="D251" s="331" t="s">
        <v>417</v>
      </c>
      <c r="E251" s="332">
        <v>0</v>
      </c>
      <c r="F251" s="332">
        <v>0</v>
      </c>
      <c r="G251" s="264" t="s">
        <v>144</v>
      </c>
    </row>
    <row r="252" spans="1:7" ht="20.25" customHeight="1" hidden="1">
      <c r="A252" s="288"/>
      <c r="B252" s="325"/>
      <c r="C252" s="325" t="s">
        <v>385</v>
      </c>
      <c r="D252" s="308" t="s">
        <v>109</v>
      </c>
      <c r="E252" s="332">
        <v>0</v>
      </c>
      <c r="F252" s="332">
        <v>0</v>
      </c>
      <c r="G252" s="264" t="s">
        <v>144</v>
      </c>
    </row>
    <row r="253" spans="1:7" ht="64.5" customHeight="1" hidden="1">
      <c r="A253" s="288"/>
      <c r="B253" s="325"/>
      <c r="C253" s="325" t="s">
        <v>268</v>
      </c>
      <c r="D253" s="270" t="s">
        <v>512</v>
      </c>
      <c r="E253" s="332">
        <v>0</v>
      </c>
      <c r="F253" s="332">
        <v>0</v>
      </c>
      <c r="G253" s="264" t="s">
        <v>144</v>
      </c>
    </row>
    <row r="254" spans="1:7" ht="19.5" customHeight="1" hidden="1">
      <c r="A254" s="298"/>
      <c r="B254" s="309" t="s">
        <v>735</v>
      </c>
      <c r="C254" s="330"/>
      <c r="D254" s="310" t="s">
        <v>736</v>
      </c>
      <c r="E254" s="311">
        <f>SUM(E255,E256,E257)</f>
        <v>0</v>
      </c>
      <c r="F254" s="311">
        <f>SUM(F255,F256,F257)</f>
        <v>0</v>
      </c>
      <c r="G254" s="257" t="s">
        <v>144</v>
      </c>
    </row>
    <row r="255" spans="1:7" s="269" customFormat="1" ht="65.25" customHeight="1" hidden="1">
      <c r="A255" s="288"/>
      <c r="B255" s="325"/>
      <c r="C255" s="325" t="s">
        <v>416</v>
      </c>
      <c r="D255" s="331" t="s">
        <v>417</v>
      </c>
      <c r="E255" s="332">
        <v>0</v>
      </c>
      <c r="F255" s="332">
        <v>0</v>
      </c>
      <c r="G255" s="257" t="s">
        <v>144</v>
      </c>
    </row>
    <row r="256" spans="1:7" ht="19.5" customHeight="1" hidden="1">
      <c r="A256" s="298"/>
      <c r="B256" s="309"/>
      <c r="C256" s="289" t="s">
        <v>385</v>
      </c>
      <c r="D256" s="308" t="s">
        <v>109</v>
      </c>
      <c r="E256" s="332">
        <v>0</v>
      </c>
      <c r="F256" s="332">
        <v>0</v>
      </c>
      <c r="G256" s="257" t="s">
        <v>144</v>
      </c>
    </row>
    <row r="257" spans="1:7" ht="67.5" customHeight="1" hidden="1">
      <c r="A257" s="298"/>
      <c r="B257" s="309"/>
      <c r="C257" s="325" t="s">
        <v>268</v>
      </c>
      <c r="D257" s="270" t="s">
        <v>512</v>
      </c>
      <c r="E257" s="332">
        <v>0</v>
      </c>
      <c r="F257" s="332">
        <v>0</v>
      </c>
      <c r="G257" s="257" t="s">
        <v>144</v>
      </c>
    </row>
    <row r="258" spans="1:7" ht="19.5" customHeight="1">
      <c r="A258" s="298"/>
      <c r="B258" s="309" t="s">
        <v>1470</v>
      </c>
      <c r="C258" s="330"/>
      <c r="D258" s="310" t="s">
        <v>1471</v>
      </c>
      <c r="E258" s="311">
        <f>SUM(E259,E260,E261,E262)</f>
        <v>0</v>
      </c>
      <c r="F258" s="311">
        <f>SUM(F259,F260,F261,F262)</f>
        <v>1412.49</v>
      </c>
      <c r="G258" s="257" t="s">
        <v>144</v>
      </c>
    </row>
    <row r="259" spans="1:7" s="269" customFormat="1" ht="65.25" customHeight="1">
      <c r="A259" s="288"/>
      <c r="B259" s="325"/>
      <c r="C259" s="289" t="s">
        <v>416</v>
      </c>
      <c r="D259" s="331" t="s">
        <v>417</v>
      </c>
      <c r="E259" s="332">
        <v>0</v>
      </c>
      <c r="F259" s="332">
        <v>9</v>
      </c>
      <c r="G259" s="264" t="s">
        <v>144</v>
      </c>
    </row>
    <row r="260" spans="1:7" ht="19.5" customHeight="1">
      <c r="A260" s="298"/>
      <c r="B260" s="309"/>
      <c r="C260" s="289" t="s">
        <v>385</v>
      </c>
      <c r="D260" s="308" t="s">
        <v>109</v>
      </c>
      <c r="E260" s="332">
        <v>0</v>
      </c>
      <c r="F260" s="332">
        <v>1187.22</v>
      </c>
      <c r="G260" s="257" t="s">
        <v>144</v>
      </c>
    </row>
    <row r="261" spans="1:7" ht="65.25" customHeight="1">
      <c r="A261" s="298"/>
      <c r="B261" s="334"/>
      <c r="C261" s="313" t="s">
        <v>268</v>
      </c>
      <c r="D261" s="262" t="s">
        <v>512</v>
      </c>
      <c r="E261" s="335">
        <v>0</v>
      </c>
      <c r="F261" s="315">
        <v>216.27</v>
      </c>
      <c r="G261" s="281" t="s">
        <v>144</v>
      </c>
    </row>
    <row r="262" spans="1:7" ht="53.25" customHeight="1" hidden="1">
      <c r="A262" s="298"/>
      <c r="B262" s="334"/>
      <c r="C262" s="313" t="s">
        <v>1257</v>
      </c>
      <c r="D262" s="270" t="s">
        <v>497</v>
      </c>
      <c r="E262" s="335">
        <v>0</v>
      </c>
      <c r="F262" s="315">
        <v>0</v>
      </c>
      <c r="G262" s="281" t="s">
        <v>144</v>
      </c>
    </row>
    <row r="263" spans="1:7" ht="75.75" customHeight="1" hidden="1">
      <c r="A263" s="298"/>
      <c r="B263" s="334"/>
      <c r="C263" s="313"/>
      <c r="D263" s="262" t="s">
        <v>498</v>
      </c>
      <c r="E263" s="335"/>
      <c r="F263" s="315"/>
      <c r="G263" s="281"/>
    </row>
    <row r="264" spans="1:7" ht="19.5" customHeight="1">
      <c r="A264" s="298"/>
      <c r="B264" s="336" t="s">
        <v>737</v>
      </c>
      <c r="C264" s="337"/>
      <c r="D264" s="338" t="s">
        <v>1358</v>
      </c>
      <c r="E264" s="339">
        <f>SUM(E265,E266)</f>
        <v>7000</v>
      </c>
      <c r="F264" s="339">
        <f>SUM(F265,F266)</f>
        <v>3498</v>
      </c>
      <c r="G264" s="281">
        <f>F264/E264*100</f>
        <v>49.971428571428575</v>
      </c>
    </row>
    <row r="265" spans="1:7" s="269" customFormat="1" ht="54" customHeight="1">
      <c r="A265" s="288"/>
      <c r="B265" s="289"/>
      <c r="C265" s="261">
        <v>2010</v>
      </c>
      <c r="D265" s="262" t="s">
        <v>218</v>
      </c>
      <c r="E265" s="315">
        <v>7000</v>
      </c>
      <c r="F265" s="315">
        <v>3498</v>
      </c>
      <c r="G265" s="294">
        <f>F265/E265*100</f>
        <v>49.971428571428575</v>
      </c>
    </row>
    <row r="266" spans="1:7" s="269" customFormat="1" ht="55.5" customHeight="1" hidden="1">
      <c r="A266" s="288"/>
      <c r="B266" s="289"/>
      <c r="C266" s="261">
        <v>2020</v>
      </c>
      <c r="D266" s="262" t="s">
        <v>231</v>
      </c>
      <c r="E266" s="291">
        <v>0</v>
      </c>
      <c r="F266" s="291"/>
      <c r="G266" s="264" t="e">
        <f>F266/E266*100</f>
        <v>#DIV/0!</v>
      </c>
    </row>
    <row r="267" spans="1:7" s="274" customFormat="1" ht="21.75" customHeight="1">
      <c r="A267" s="303" t="s">
        <v>445</v>
      </c>
      <c r="B267" s="304"/>
      <c r="C267" s="318"/>
      <c r="D267" s="282" t="s">
        <v>456</v>
      </c>
      <c r="E267" s="284">
        <f>SUM(E268,E272,E274,E278,E280,E282,E284,E292,E297,E304,E307,E312,E314,E318,E320)</f>
        <v>8270256</v>
      </c>
      <c r="F267" s="284">
        <f>SUM(F268,F272,F274,F278,F280,F282,F284,F292,F297,F304,F307,F312,F314,F318,F320)</f>
        <v>4621875.73</v>
      </c>
      <c r="G267" s="251">
        <f>F267/E267*100</f>
        <v>55.88552192338424</v>
      </c>
    </row>
    <row r="268" spans="1:7" s="274" customFormat="1" ht="21.75" customHeight="1">
      <c r="A268" s="298"/>
      <c r="B268" s="299" t="s">
        <v>446</v>
      </c>
      <c r="C268" s="300"/>
      <c r="D268" s="333" t="s">
        <v>1288</v>
      </c>
      <c r="E268" s="302">
        <f>SUM(E269,E270,E271)</f>
        <v>0</v>
      </c>
      <c r="F268" s="302">
        <f>SUM(F269,F270,F271)</f>
        <v>5550.780000000001</v>
      </c>
      <c r="G268" s="257" t="s">
        <v>144</v>
      </c>
    </row>
    <row r="269" spans="1:7" s="340" customFormat="1" ht="27.75" customHeight="1" hidden="1">
      <c r="A269" s="288"/>
      <c r="B269" s="289"/>
      <c r="C269" s="290" t="s">
        <v>386</v>
      </c>
      <c r="D269" s="270" t="s">
        <v>1277</v>
      </c>
      <c r="E269" s="332">
        <v>0</v>
      </c>
      <c r="F269" s="291">
        <v>0</v>
      </c>
      <c r="G269" s="264" t="s">
        <v>144</v>
      </c>
    </row>
    <row r="270" spans="1:7" s="269" customFormat="1" ht="18.75" customHeight="1">
      <c r="A270" s="288"/>
      <c r="B270" s="289"/>
      <c r="C270" s="289" t="s">
        <v>384</v>
      </c>
      <c r="D270" s="308" t="s">
        <v>154</v>
      </c>
      <c r="E270" s="291">
        <v>0</v>
      </c>
      <c r="F270" s="291">
        <v>0.76</v>
      </c>
      <c r="G270" s="264" t="s">
        <v>144</v>
      </c>
    </row>
    <row r="271" spans="1:8" s="274" customFormat="1" ht="21.75" customHeight="1">
      <c r="A271" s="288"/>
      <c r="B271" s="289"/>
      <c r="C271" s="290" t="s">
        <v>385</v>
      </c>
      <c r="D271" s="331" t="s">
        <v>109</v>
      </c>
      <c r="E271" s="332">
        <v>0</v>
      </c>
      <c r="F271" s="291">
        <v>5550.02</v>
      </c>
      <c r="G271" s="264" t="s">
        <v>144</v>
      </c>
      <c r="H271" s="274" t="s">
        <v>1124</v>
      </c>
    </row>
    <row r="272" spans="1:7" s="274" customFormat="1" ht="21.75" customHeight="1">
      <c r="A272" s="298"/>
      <c r="B272" s="299" t="s">
        <v>740</v>
      </c>
      <c r="C272" s="300"/>
      <c r="D272" s="333" t="s">
        <v>741</v>
      </c>
      <c r="E272" s="302">
        <f>SUM(E273)</f>
        <v>0</v>
      </c>
      <c r="F272" s="302">
        <f>SUM(F273)</f>
        <v>28561.48</v>
      </c>
      <c r="G272" s="257" t="s">
        <v>144</v>
      </c>
    </row>
    <row r="273" spans="1:7" s="274" customFormat="1" ht="21.75" customHeight="1">
      <c r="A273" s="288"/>
      <c r="B273" s="289"/>
      <c r="C273" s="290" t="s">
        <v>385</v>
      </c>
      <c r="D273" s="331" t="s">
        <v>109</v>
      </c>
      <c r="E273" s="332">
        <v>0</v>
      </c>
      <c r="F273" s="291">
        <v>28561.48</v>
      </c>
      <c r="G273" s="264" t="s">
        <v>144</v>
      </c>
    </row>
    <row r="274" spans="1:7" ht="21.75" customHeight="1">
      <c r="A274" s="298"/>
      <c r="B274" s="299" t="s">
        <v>457</v>
      </c>
      <c r="C274" s="300"/>
      <c r="D274" s="333" t="s">
        <v>223</v>
      </c>
      <c r="E274" s="302">
        <f>SUM(E275,E276,E277)</f>
        <v>240000</v>
      </c>
      <c r="F274" s="302">
        <f>SUM(F275,F276,F277)</f>
        <v>100388.4</v>
      </c>
      <c r="G274" s="257">
        <f>F274/E274*100</f>
        <v>41.8285</v>
      </c>
    </row>
    <row r="275" spans="1:7" ht="21" customHeight="1">
      <c r="A275" s="298"/>
      <c r="B275" s="299"/>
      <c r="C275" s="290" t="s">
        <v>383</v>
      </c>
      <c r="D275" s="262" t="s">
        <v>156</v>
      </c>
      <c r="E275" s="332">
        <v>23000</v>
      </c>
      <c r="F275" s="291">
        <v>9188.4</v>
      </c>
      <c r="G275" s="264">
        <f>F275/E275*100</f>
        <v>39.9495652173913</v>
      </c>
    </row>
    <row r="276" spans="1:7" s="274" customFormat="1" ht="21.75" customHeight="1" hidden="1">
      <c r="A276" s="288"/>
      <c r="B276" s="289"/>
      <c r="C276" s="290" t="s">
        <v>385</v>
      </c>
      <c r="D276" s="331" t="s">
        <v>109</v>
      </c>
      <c r="E276" s="332">
        <v>0</v>
      </c>
      <c r="F276" s="291">
        <v>0</v>
      </c>
      <c r="G276" s="264" t="s">
        <v>144</v>
      </c>
    </row>
    <row r="277" spans="1:7" s="269" customFormat="1" ht="54.75" customHeight="1">
      <c r="A277" s="288"/>
      <c r="B277" s="289"/>
      <c r="C277" s="261">
        <v>2010</v>
      </c>
      <c r="D277" s="262" t="s">
        <v>218</v>
      </c>
      <c r="E277" s="332">
        <v>217000</v>
      </c>
      <c r="F277" s="291">
        <v>91200</v>
      </c>
      <c r="G277" s="264">
        <f>F277/E277*100</f>
        <v>42.02764976958525</v>
      </c>
    </row>
    <row r="278" spans="1:7" s="274" customFormat="1" ht="21.75" customHeight="1" hidden="1">
      <c r="A278" s="298"/>
      <c r="B278" s="299" t="s">
        <v>742</v>
      </c>
      <c r="C278" s="300"/>
      <c r="D278" s="333" t="s">
        <v>743</v>
      </c>
      <c r="E278" s="302">
        <f>SUM(E279)</f>
        <v>0</v>
      </c>
      <c r="F278" s="302">
        <f>SUM(F279)</f>
        <v>0</v>
      </c>
      <c r="G278" s="257" t="s">
        <v>144</v>
      </c>
    </row>
    <row r="279" spans="1:8" s="274" customFormat="1" ht="21.75" customHeight="1" hidden="1">
      <c r="A279" s="288"/>
      <c r="B279" s="289"/>
      <c r="C279" s="290" t="s">
        <v>385</v>
      </c>
      <c r="D279" s="331" t="s">
        <v>109</v>
      </c>
      <c r="E279" s="332">
        <v>0</v>
      </c>
      <c r="F279" s="291">
        <v>0</v>
      </c>
      <c r="G279" s="264" t="s">
        <v>144</v>
      </c>
      <c r="H279" s="274" t="s">
        <v>1124</v>
      </c>
    </row>
    <row r="280" spans="1:7" s="274" customFormat="1" ht="29.25" customHeight="1">
      <c r="A280" s="288"/>
      <c r="B280" s="299" t="s">
        <v>423</v>
      </c>
      <c r="C280" s="300"/>
      <c r="D280" s="333" t="s">
        <v>302</v>
      </c>
      <c r="E280" s="302">
        <f>SUM(E281)</f>
        <v>8000</v>
      </c>
      <c r="F280" s="302">
        <f>SUM(F281)</f>
        <v>0</v>
      </c>
      <c r="G280" s="264">
        <f>F280/E280*100</f>
        <v>0</v>
      </c>
    </row>
    <row r="281" spans="1:8" s="274" customFormat="1" ht="69.75" customHeight="1">
      <c r="A281" s="288"/>
      <c r="B281" s="289"/>
      <c r="C281" s="290" t="s">
        <v>268</v>
      </c>
      <c r="D281" s="262" t="s">
        <v>512</v>
      </c>
      <c r="E281" s="332">
        <v>8000</v>
      </c>
      <c r="F281" s="291">
        <v>0</v>
      </c>
      <c r="G281" s="264">
        <f>F281/E281*100</f>
        <v>0</v>
      </c>
      <c r="H281" s="274" t="s">
        <v>1124</v>
      </c>
    </row>
    <row r="282" spans="1:7" s="274" customFormat="1" ht="16.5" customHeight="1">
      <c r="A282" s="288"/>
      <c r="B282" s="299" t="s">
        <v>979</v>
      </c>
      <c r="C282" s="300"/>
      <c r="D282" s="333" t="s">
        <v>980</v>
      </c>
      <c r="E282" s="302">
        <f>SUM(E283)</f>
        <v>32436</v>
      </c>
      <c r="F282" s="302">
        <f>SUM(F283)</f>
        <v>32436</v>
      </c>
      <c r="G282" s="264">
        <f>F282/E282*100</f>
        <v>100</v>
      </c>
    </row>
    <row r="283" spans="1:7" s="274" customFormat="1" ht="43.5" customHeight="1">
      <c r="A283" s="288"/>
      <c r="B283" s="289"/>
      <c r="C283" s="261">
        <v>2030</v>
      </c>
      <c r="D283" s="262" t="s">
        <v>224</v>
      </c>
      <c r="E283" s="291">
        <v>32436</v>
      </c>
      <c r="F283" s="291">
        <v>32436</v>
      </c>
      <c r="G283" s="264">
        <f>F283/E283*100</f>
        <v>100</v>
      </c>
    </row>
    <row r="284" spans="1:7" ht="43.5" customHeight="1">
      <c r="A284" s="298"/>
      <c r="B284" s="299" t="s">
        <v>447</v>
      </c>
      <c r="C284" s="300"/>
      <c r="D284" s="341" t="s">
        <v>1006</v>
      </c>
      <c r="E284" s="311">
        <f>SUM(E285,E286,E287,E288,E289,E290,E291)</f>
        <v>5710995</v>
      </c>
      <c r="F284" s="311">
        <f>SUM(F285,F286,F287,F288,F289,F290,F291)</f>
        <v>2962843.2</v>
      </c>
      <c r="G284" s="257">
        <f aca="true" t="shared" si="10" ref="G284:G297">F284/E284*100</f>
        <v>51.8796321831835</v>
      </c>
    </row>
    <row r="285" spans="1:7" ht="18" customHeight="1">
      <c r="A285" s="298"/>
      <c r="B285" s="299"/>
      <c r="C285" s="289" t="s">
        <v>387</v>
      </c>
      <c r="D285" s="262" t="s">
        <v>106</v>
      </c>
      <c r="E285" s="332">
        <v>0</v>
      </c>
      <c r="F285" s="332">
        <v>383.13</v>
      </c>
      <c r="G285" s="264" t="s">
        <v>144</v>
      </c>
    </row>
    <row r="286" spans="1:7" s="269" customFormat="1" ht="18.75" customHeight="1">
      <c r="A286" s="288"/>
      <c r="B286" s="289"/>
      <c r="C286" s="289" t="s">
        <v>384</v>
      </c>
      <c r="D286" s="308" t="s">
        <v>154</v>
      </c>
      <c r="E286" s="291">
        <v>9000</v>
      </c>
      <c r="F286" s="291">
        <v>4633.81</v>
      </c>
      <c r="G286" s="264">
        <f t="shared" si="10"/>
        <v>51.48677777777778</v>
      </c>
    </row>
    <row r="287" spans="1:7" ht="18" customHeight="1" hidden="1">
      <c r="A287" s="298"/>
      <c r="B287" s="299"/>
      <c r="C287" s="290" t="s">
        <v>385</v>
      </c>
      <c r="D287" s="262" t="s">
        <v>109</v>
      </c>
      <c r="E287" s="291">
        <v>0</v>
      </c>
      <c r="F287" s="291">
        <v>0</v>
      </c>
      <c r="G287" s="264" t="e">
        <f t="shared" si="10"/>
        <v>#DIV/0!</v>
      </c>
    </row>
    <row r="288" spans="1:7" ht="29.25" customHeight="1" hidden="1">
      <c r="A288" s="298"/>
      <c r="B288" s="299"/>
      <c r="C288" s="290" t="s">
        <v>418</v>
      </c>
      <c r="D288" s="262" t="s">
        <v>419</v>
      </c>
      <c r="E288" s="291">
        <v>0</v>
      </c>
      <c r="F288" s="291">
        <v>0</v>
      </c>
      <c r="G288" s="264" t="e">
        <f t="shared" si="10"/>
        <v>#DIV/0!</v>
      </c>
    </row>
    <row r="289" spans="1:7" s="342" customFormat="1" ht="58.5" customHeight="1">
      <c r="A289" s="288"/>
      <c r="B289" s="289"/>
      <c r="C289" s="261">
        <v>2010</v>
      </c>
      <c r="D289" s="262" t="s">
        <v>218</v>
      </c>
      <c r="E289" s="291">
        <v>5601000</v>
      </c>
      <c r="F289" s="291">
        <v>2906500</v>
      </c>
      <c r="G289" s="264">
        <f t="shared" si="10"/>
        <v>51.89251919300125</v>
      </c>
    </row>
    <row r="290" spans="1:7" s="342" customFormat="1" ht="58.5" customHeight="1">
      <c r="A290" s="288"/>
      <c r="B290" s="289"/>
      <c r="C290" s="261">
        <v>2360</v>
      </c>
      <c r="D290" s="262" t="s">
        <v>462</v>
      </c>
      <c r="E290" s="291">
        <v>34995</v>
      </c>
      <c r="F290" s="291">
        <v>14735.2</v>
      </c>
      <c r="G290" s="264">
        <f t="shared" si="10"/>
        <v>42.10658665523647</v>
      </c>
    </row>
    <row r="291" spans="1:7" s="342" customFormat="1" ht="68.25" customHeight="1">
      <c r="A291" s="288"/>
      <c r="B291" s="289"/>
      <c r="C291" s="261">
        <v>2910</v>
      </c>
      <c r="D291" s="262" t="s">
        <v>512</v>
      </c>
      <c r="E291" s="291">
        <v>66000</v>
      </c>
      <c r="F291" s="291">
        <v>36591.06</v>
      </c>
      <c r="G291" s="264">
        <f t="shared" si="10"/>
        <v>55.440999999999995</v>
      </c>
    </row>
    <row r="292" spans="1:7" ht="69" customHeight="1">
      <c r="A292" s="298"/>
      <c r="B292" s="299" t="s">
        <v>448</v>
      </c>
      <c r="C292" s="300"/>
      <c r="D292" s="255" t="s">
        <v>576</v>
      </c>
      <c r="E292" s="302">
        <f>SUM(E293,E294,E295,E296)</f>
        <v>107000</v>
      </c>
      <c r="F292" s="302">
        <f>SUM(F293,F294,F295,F296)</f>
        <v>62237.04</v>
      </c>
      <c r="G292" s="257">
        <f t="shared" si="10"/>
        <v>58.16545794392523</v>
      </c>
    </row>
    <row r="293" spans="1:7" s="269" customFormat="1" ht="21" customHeight="1" hidden="1">
      <c r="A293" s="288"/>
      <c r="B293" s="289"/>
      <c r="C293" s="290" t="s">
        <v>385</v>
      </c>
      <c r="D293" s="262" t="s">
        <v>109</v>
      </c>
      <c r="E293" s="291">
        <v>0</v>
      </c>
      <c r="F293" s="291">
        <v>0</v>
      </c>
      <c r="G293" s="264" t="s">
        <v>144</v>
      </c>
    </row>
    <row r="294" spans="1:7" s="269" customFormat="1" ht="56.25" customHeight="1">
      <c r="A294" s="288"/>
      <c r="B294" s="289"/>
      <c r="C294" s="261">
        <v>2010</v>
      </c>
      <c r="D294" s="262" t="s">
        <v>218</v>
      </c>
      <c r="E294" s="291">
        <v>30000</v>
      </c>
      <c r="F294" s="291">
        <v>21500</v>
      </c>
      <c r="G294" s="264">
        <f t="shared" si="10"/>
        <v>71.66666666666667</v>
      </c>
    </row>
    <row r="295" spans="1:7" s="269" customFormat="1" ht="40.5" customHeight="1">
      <c r="A295" s="288"/>
      <c r="B295" s="289"/>
      <c r="C295" s="261">
        <v>2030</v>
      </c>
      <c r="D295" s="262" t="s">
        <v>224</v>
      </c>
      <c r="E295" s="291">
        <v>76000</v>
      </c>
      <c r="F295" s="291">
        <v>37998</v>
      </c>
      <c r="G295" s="264">
        <f t="shared" si="10"/>
        <v>49.99736842105263</v>
      </c>
    </row>
    <row r="296" spans="1:7" s="342" customFormat="1" ht="65.25" customHeight="1">
      <c r="A296" s="288"/>
      <c r="B296" s="289"/>
      <c r="C296" s="261">
        <v>2910</v>
      </c>
      <c r="D296" s="262" t="s">
        <v>512</v>
      </c>
      <c r="E296" s="291">
        <v>1000</v>
      </c>
      <c r="F296" s="291">
        <v>2739.04</v>
      </c>
      <c r="G296" s="264">
        <f t="shared" si="10"/>
        <v>273.904</v>
      </c>
    </row>
    <row r="297" spans="1:7" ht="32.25" customHeight="1">
      <c r="A297" s="288"/>
      <c r="B297" s="299" t="s">
        <v>449</v>
      </c>
      <c r="C297" s="261"/>
      <c r="D297" s="255" t="s">
        <v>636</v>
      </c>
      <c r="E297" s="302">
        <f>SUM(E298,E299,E300,E301)</f>
        <v>223000</v>
      </c>
      <c r="F297" s="302">
        <f>SUM(F298,F299,F300,F301)</f>
        <v>192480.66</v>
      </c>
      <c r="G297" s="257">
        <f t="shared" si="10"/>
        <v>86.31419730941704</v>
      </c>
    </row>
    <row r="298" spans="1:7" s="269" customFormat="1" ht="21" customHeight="1">
      <c r="A298" s="288"/>
      <c r="B298" s="289"/>
      <c r="C298" s="290" t="s">
        <v>385</v>
      </c>
      <c r="D298" s="262" t="s">
        <v>109</v>
      </c>
      <c r="E298" s="291">
        <v>0</v>
      </c>
      <c r="F298" s="291">
        <v>3549.88</v>
      </c>
      <c r="G298" s="264" t="s">
        <v>144</v>
      </c>
    </row>
    <row r="299" spans="1:7" s="269" customFormat="1" ht="57" customHeight="1" hidden="1">
      <c r="A299" s="288"/>
      <c r="B299" s="289"/>
      <c r="C299" s="261">
        <v>2010</v>
      </c>
      <c r="D299" s="262" t="s">
        <v>218</v>
      </c>
      <c r="E299" s="291">
        <v>0</v>
      </c>
      <c r="F299" s="291">
        <v>0</v>
      </c>
      <c r="G299" s="264" t="e">
        <f aca="true" t="shared" si="11" ref="G299:G307">F299/E299*100</f>
        <v>#DIV/0!</v>
      </c>
    </row>
    <row r="300" spans="1:7" s="269" customFormat="1" ht="44.25" customHeight="1">
      <c r="A300" s="288"/>
      <c r="B300" s="289"/>
      <c r="C300" s="261">
        <v>2030</v>
      </c>
      <c r="D300" s="262" t="s">
        <v>224</v>
      </c>
      <c r="E300" s="291">
        <v>218000</v>
      </c>
      <c r="F300" s="291">
        <v>156498</v>
      </c>
      <c r="G300" s="264">
        <f t="shared" si="11"/>
        <v>71.78807339449541</v>
      </c>
    </row>
    <row r="301" spans="1:7" s="269" customFormat="1" ht="63.75" customHeight="1">
      <c r="A301" s="288"/>
      <c r="B301" s="289"/>
      <c r="C301" s="261">
        <v>2910</v>
      </c>
      <c r="D301" s="262" t="s">
        <v>512</v>
      </c>
      <c r="E301" s="291">
        <v>5000</v>
      </c>
      <c r="F301" s="291">
        <v>32432.78</v>
      </c>
      <c r="G301" s="264">
        <f t="shared" si="11"/>
        <v>648.6556</v>
      </c>
    </row>
    <row r="302" spans="1:7" ht="20.25" customHeight="1" hidden="1">
      <c r="A302" s="288"/>
      <c r="B302" s="299" t="s">
        <v>450</v>
      </c>
      <c r="C302" s="261"/>
      <c r="D302" s="255" t="s">
        <v>1477</v>
      </c>
      <c r="E302" s="302">
        <f>SUM(E303)</f>
        <v>0</v>
      </c>
      <c r="F302" s="302">
        <f>SUM(F303)</f>
        <v>0</v>
      </c>
      <c r="G302" s="264" t="e">
        <f t="shared" si="11"/>
        <v>#DIV/0!</v>
      </c>
    </row>
    <row r="303" spans="1:7" s="269" customFormat="1" ht="21" customHeight="1" hidden="1">
      <c r="A303" s="288"/>
      <c r="B303" s="289"/>
      <c r="C303" s="290" t="s">
        <v>385</v>
      </c>
      <c r="D303" s="262" t="s">
        <v>109</v>
      </c>
      <c r="E303" s="291">
        <v>0</v>
      </c>
      <c r="F303" s="291">
        <v>0</v>
      </c>
      <c r="G303" s="264" t="e">
        <f t="shared" si="11"/>
        <v>#DIV/0!</v>
      </c>
    </row>
    <row r="304" spans="1:7" ht="20.25" customHeight="1">
      <c r="A304" s="288"/>
      <c r="B304" s="299" t="s">
        <v>420</v>
      </c>
      <c r="C304" s="261"/>
      <c r="D304" s="255" t="s">
        <v>693</v>
      </c>
      <c r="E304" s="302">
        <f>SUM(E305,E306)</f>
        <v>769000</v>
      </c>
      <c r="F304" s="302">
        <f>SUM(F305,F306)</f>
        <v>503035.9</v>
      </c>
      <c r="G304" s="257">
        <f t="shared" si="11"/>
        <v>65.41429128738622</v>
      </c>
    </row>
    <row r="305" spans="1:7" s="269" customFormat="1" ht="39.75" customHeight="1">
      <c r="A305" s="288"/>
      <c r="B305" s="289"/>
      <c r="C305" s="290" t="s">
        <v>439</v>
      </c>
      <c r="D305" s="262" t="s">
        <v>224</v>
      </c>
      <c r="E305" s="291">
        <v>759000</v>
      </c>
      <c r="F305" s="291">
        <v>498000</v>
      </c>
      <c r="G305" s="264">
        <f t="shared" si="11"/>
        <v>65.61264822134387</v>
      </c>
    </row>
    <row r="306" spans="1:7" s="269" customFormat="1" ht="63.75" customHeight="1">
      <c r="A306" s="288"/>
      <c r="B306" s="289"/>
      <c r="C306" s="261">
        <v>2910</v>
      </c>
      <c r="D306" s="262" t="s">
        <v>512</v>
      </c>
      <c r="E306" s="291">
        <v>10000</v>
      </c>
      <c r="F306" s="291">
        <v>5035.9</v>
      </c>
      <c r="G306" s="264">
        <f t="shared" si="11"/>
        <v>50.358999999999995</v>
      </c>
    </row>
    <row r="307" spans="1:7" ht="21.75" customHeight="1">
      <c r="A307" s="298"/>
      <c r="B307" s="299" t="s">
        <v>451</v>
      </c>
      <c r="C307" s="300"/>
      <c r="D307" s="255" t="s">
        <v>1478</v>
      </c>
      <c r="E307" s="302">
        <f>SUM(E308,E309,E310,E311)</f>
        <v>529263</v>
      </c>
      <c r="F307" s="302">
        <f>SUM(F308,F309,F310,F311)</f>
        <v>289789.68</v>
      </c>
      <c r="G307" s="257">
        <f t="shared" si="11"/>
        <v>54.75343638229009</v>
      </c>
    </row>
    <row r="308" spans="1:7" s="269" customFormat="1" ht="21.75" customHeight="1">
      <c r="A308" s="288"/>
      <c r="B308" s="289"/>
      <c r="C308" s="290" t="s">
        <v>384</v>
      </c>
      <c r="D308" s="308" t="s">
        <v>154</v>
      </c>
      <c r="E308" s="291">
        <v>0</v>
      </c>
      <c r="F308" s="291">
        <v>5654.12</v>
      </c>
      <c r="G308" s="264" t="s">
        <v>144</v>
      </c>
    </row>
    <row r="309" spans="1:7" ht="21.75" customHeight="1">
      <c r="A309" s="298"/>
      <c r="B309" s="299"/>
      <c r="C309" s="290" t="s">
        <v>385</v>
      </c>
      <c r="D309" s="262" t="s">
        <v>109</v>
      </c>
      <c r="E309" s="291">
        <v>0</v>
      </c>
      <c r="F309" s="291">
        <v>17372.56</v>
      </c>
      <c r="G309" s="264" t="s">
        <v>144</v>
      </c>
    </row>
    <row r="310" spans="1:7" ht="56.25" customHeight="1">
      <c r="A310" s="288"/>
      <c r="B310" s="289"/>
      <c r="C310" s="290" t="s">
        <v>454</v>
      </c>
      <c r="D310" s="262" t="s">
        <v>218</v>
      </c>
      <c r="E310" s="291">
        <v>4263</v>
      </c>
      <c r="F310" s="291">
        <v>4263</v>
      </c>
      <c r="G310" s="264">
        <f>F310/E310*100</f>
        <v>100</v>
      </c>
    </row>
    <row r="311" spans="1:7" s="269" customFormat="1" ht="43.5" customHeight="1">
      <c r="A311" s="288"/>
      <c r="B311" s="289"/>
      <c r="C311" s="290" t="s">
        <v>439</v>
      </c>
      <c r="D311" s="262" t="s">
        <v>224</v>
      </c>
      <c r="E311" s="291">
        <v>525000</v>
      </c>
      <c r="F311" s="291">
        <v>262500</v>
      </c>
      <c r="G311" s="264">
        <f>F311/E311*100</f>
        <v>50</v>
      </c>
    </row>
    <row r="312" spans="1:7" ht="43.5" customHeight="1" hidden="1">
      <c r="A312" s="298"/>
      <c r="B312" s="299" t="s">
        <v>1121</v>
      </c>
      <c r="C312" s="316"/>
      <c r="D312" s="301" t="s">
        <v>1122</v>
      </c>
      <c r="E312" s="302">
        <f>SUM(E313)</f>
        <v>0</v>
      </c>
      <c r="F312" s="302">
        <f>SUM(F313)</f>
        <v>0</v>
      </c>
      <c r="G312" s="257" t="s">
        <v>144</v>
      </c>
    </row>
    <row r="313" spans="1:7" s="269" customFormat="1" ht="19.5" customHeight="1" hidden="1">
      <c r="A313" s="288"/>
      <c r="B313" s="289"/>
      <c r="C313" s="290" t="s">
        <v>385</v>
      </c>
      <c r="D313" s="262" t="s">
        <v>109</v>
      </c>
      <c r="E313" s="291">
        <v>0</v>
      </c>
      <c r="F313" s="291">
        <v>0</v>
      </c>
      <c r="G313" s="264" t="s">
        <v>144</v>
      </c>
    </row>
    <row r="314" spans="1:7" ht="27.75" customHeight="1">
      <c r="A314" s="298"/>
      <c r="B314" s="299" t="s">
        <v>453</v>
      </c>
      <c r="C314" s="300"/>
      <c r="D314" s="255" t="s">
        <v>1481</v>
      </c>
      <c r="E314" s="302">
        <f>SUM(E315,E316,E317)</f>
        <v>158000</v>
      </c>
      <c r="F314" s="302">
        <f>SUM(F315,F316,F317)</f>
        <v>76078.59</v>
      </c>
      <c r="G314" s="257">
        <f>F314/E314*100</f>
        <v>48.15100632911392</v>
      </c>
    </row>
    <row r="315" spans="1:7" s="269" customFormat="1" ht="17.25" customHeight="1">
      <c r="A315" s="288"/>
      <c r="B315" s="289"/>
      <c r="C315" s="290" t="s">
        <v>383</v>
      </c>
      <c r="D315" s="270" t="s">
        <v>156</v>
      </c>
      <c r="E315" s="291">
        <v>86000</v>
      </c>
      <c r="F315" s="291">
        <v>40078.59</v>
      </c>
      <c r="G315" s="264">
        <f>F315/E315*100</f>
        <v>46.60301162790697</v>
      </c>
    </row>
    <row r="316" spans="1:7" s="269" customFormat="1" ht="17.25" customHeight="1" hidden="1">
      <c r="A316" s="288"/>
      <c r="B316" s="289"/>
      <c r="C316" s="290" t="s">
        <v>384</v>
      </c>
      <c r="D316" s="308" t="s">
        <v>154</v>
      </c>
      <c r="E316" s="291">
        <v>0</v>
      </c>
      <c r="F316" s="291"/>
      <c r="G316" s="264" t="s">
        <v>144</v>
      </c>
    </row>
    <row r="317" spans="1:7" ht="56.25" customHeight="1">
      <c r="A317" s="288"/>
      <c r="B317" s="289"/>
      <c r="C317" s="290" t="s">
        <v>454</v>
      </c>
      <c r="D317" s="262" t="s">
        <v>218</v>
      </c>
      <c r="E317" s="291">
        <v>72000</v>
      </c>
      <c r="F317" s="291">
        <v>36000</v>
      </c>
      <c r="G317" s="264">
        <f>F317/E317*100</f>
        <v>50</v>
      </c>
    </row>
    <row r="318" spans="1:7" ht="24" customHeight="1" hidden="1">
      <c r="A318" s="298"/>
      <c r="B318" s="299" t="s">
        <v>1241</v>
      </c>
      <c r="C318" s="316"/>
      <c r="D318" s="301" t="s">
        <v>688</v>
      </c>
      <c r="E318" s="302">
        <f>SUM(E319)</f>
        <v>0</v>
      </c>
      <c r="F318" s="302">
        <f>SUM(F319)</f>
        <v>0</v>
      </c>
      <c r="G318" s="257" t="e">
        <f>F318/E318*100</f>
        <v>#DIV/0!</v>
      </c>
    </row>
    <row r="319" spans="1:7" ht="56.25" customHeight="1" hidden="1">
      <c r="A319" s="288"/>
      <c r="B319" s="289"/>
      <c r="C319" s="290" t="s">
        <v>454</v>
      </c>
      <c r="D319" s="262" t="s">
        <v>218</v>
      </c>
      <c r="E319" s="291">
        <v>0</v>
      </c>
      <c r="F319" s="291">
        <v>0</v>
      </c>
      <c r="G319" s="264" t="e">
        <f>F319/E319*100</f>
        <v>#DIV/0!</v>
      </c>
    </row>
    <row r="320" spans="1:7" ht="18" customHeight="1">
      <c r="A320" s="298"/>
      <c r="B320" s="299" t="s">
        <v>455</v>
      </c>
      <c r="C320" s="316"/>
      <c r="D320" s="255" t="s">
        <v>1358</v>
      </c>
      <c r="E320" s="302">
        <f>SUM(E321,E322,E323,E324,E325)</f>
        <v>492562</v>
      </c>
      <c r="F320" s="302">
        <f>SUM(F321,F322,F323,F324,F325)</f>
        <v>368474</v>
      </c>
      <c r="G320" s="257">
        <f>F320/E320*100</f>
        <v>74.80763842927388</v>
      </c>
    </row>
    <row r="321" spans="1:7" s="269" customFormat="1" ht="30.75" customHeight="1" hidden="1">
      <c r="A321" s="288"/>
      <c r="B321" s="289"/>
      <c r="C321" s="290" t="s">
        <v>386</v>
      </c>
      <c r="D321" s="262" t="s">
        <v>1277</v>
      </c>
      <c r="E321" s="291">
        <v>0</v>
      </c>
      <c r="F321" s="291">
        <v>0</v>
      </c>
      <c r="G321" s="264" t="s">
        <v>144</v>
      </c>
    </row>
    <row r="322" spans="1:7" s="269" customFormat="1" ht="55.5" customHeight="1" hidden="1">
      <c r="A322" s="288"/>
      <c r="B322" s="289"/>
      <c r="C322" s="290" t="s">
        <v>438</v>
      </c>
      <c r="D322" s="270" t="s">
        <v>231</v>
      </c>
      <c r="E322" s="291">
        <v>0</v>
      </c>
      <c r="F322" s="291">
        <v>0</v>
      </c>
      <c r="G322" s="264" t="e">
        <f aca="true" t="shared" si="12" ref="G322:G328">F322/E322*100</f>
        <v>#DIV/0!</v>
      </c>
    </row>
    <row r="323" spans="1:7" ht="56.25" customHeight="1">
      <c r="A323" s="288"/>
      <c r="B323" s="289"/>
      <c r="C323" s="290" t="s">
        <v>454</v>
      </c>
      <c r="D323" s="262" t="s">
        <v>218</v>
      </c>
      <c r="E323" s="291">
        <v>126562</v>
      </c>
      <c r="F323" s="291">
        <v>54764</v>
      </c>
      <c r="G323" s="264">
        <f>F323/E323*100</f>
        <v>43.27049193280764</v>
      </c>
    </row>
    <row r="324" spans="1:7" ht="42" customHeight="1">
      <c r="A324" s="288"/>
      <c r="B324" s="289"/>
      <c r="C324" s="290" t="s">
        <v>439</v>
      </c>
      <c r="D324" s="262" t="s">
        <v>224</v>
      </c>
      <c r="E324" s="291">
        <v>366000</v>
      </c>
      <c r="F324" s="291">
        <v>313710</v>
      </c>
      <c r="G324" s="264">
        <f t="shared" si="12"/>
        <v>85.71311475409836</v>
      </c>
    </row>
    <row r="325" spans="1:7" ht="54.75" customHeight="1" hidden="1">
      <c r="A325" s="288"/>
      <c r="B325" s="289"/>
      <c r="C325" s="266" t="s">
        <v>441</v>
      </c>
      <c r="D325" s="270" t="s">
        <v>497</v>
      </c>
      <c r="E325" s="291">
        <v>0</v>
      </c>
      <c r="F325" s="291">
        <v>0</v>
      </c>
      <c r="G325" s="264" t="e">
        <f t="shared" si="12"/>
        <v>#DIV/0!</v>
      </c>
    </row>
    <row r="326" spans="1:7" s="274" customFormat="1" ht="30" customHeight="1">
      <c r="A326" s="303" t="s">
        <v>1472</v>
      </c>
      <c r="B326" s="304"/>
      <c r="C326" s="343"/>
      <c r="D326" s="319" t="s">
        <v>746</v>
      </c>
      <c r="E326" s="284">
        <f>SUM(E327,E332,E334)</f>
        <v>913200</v>
      </c>
      <c r="F326" s="284">
        <f>SUM(F327,F332,F334)</f>
        <v>508761.02</v>
      </c>
      <c r="G326" s="251">
        <f t="shared" si="12"/>
        <v>55.71189443714412</v>
      </c>
    </row>
    <row r="327" spans="1:7" ht="21.75" customHeight="1">
      <c r="A327" s="298"/>
      <c r="B327" s="299" t="s">
        <v>1473</v>
      </c>
      <c r="C327" s="316"/>
      <c r="D327" s="301" t="s">
        <v>747</v>
      </c>
      <c r="E327" s="302">
        <f>SUM(E328,E329,E330,E331)</f>
        <v>582000</v>
      </c>
      <c r="F327" s="302">
        <f>SUM(F328,F329,F330,F331)</f>
        <v>309872.45</v>
      </c>
      <c r="G327" s="257">
        <f t="shared" si="12"/>
        <v>53.242689003436425</v>
      </c>
    </row>
    <row r="328" spans="1:7" s="269" customFormat="1" ht="24" customHeight="1">
      <c r="A328" s="288"/>
      <c r="B328" s="289"/>
      <c r="C328" s="290" t="s">
        <v>383</v>
      </c>
      <c r="D328" s="262" t="s">
        <v>156</v>
      </c>
      <c r="E328" s="291">
        <v>582000</v>
      </c>
      <c r="F328" s="291">
        <v>309871.53</v>
      </c>
      <c r="G328" s="264">
        <f t="shared" si="12"/>
        <v>53.242530927835055</v>
      </c>
    </row>
    <row r="329" spans="1:7" s="269" customFormat="1" ht="24" customHeight="1">
      <c r="A329" s="288"/>
      <c r="B329" s="289"/>
      <c r="C329" s="290" t="s">
        <v>384</v>
      </c>
      <c r="D329" s="262" t="s">
        <v>110</v>
      </c>
      <c r="E329" s="291">
        <v>0</v>
      </c>
      <c r="F329" s="291">
        <v>0.92</v>
      </c>
      <c r="G329" s="257" t="s">
        <v>144</v>
      </c>
    </row>
    <row r="330" spans="1:7" s="269" customFormat="1" ht="24" customHeight="1" hidden="1">
      <c r="A330" s="288"/>
      <c r="B330" s="289"/>
      <c r="C330" s="290" t="s">
        <v>385</v>
      </c>
      <c r="D330" s="262" t="s">
        <v>109</v>
      </c>
      <c r="E330" s="291">
        <v>0</v>
      </c>
      <c r="F330" s="291">
        <v>0</v>
      </c>
      <c r="G330" s="257" t="s">
        <v>144</v>
      </c>
    </row>
    <row r="331" spans="1:7" ht="42" customHeight="1" hidden="1">
      <c r="A331" s="288"/>
      <c r="B331" s="289"/>
      <c r="C331" s="290" t="s">
        <v>439</v>
      </c>
      <c r="D331" s="262" t="s">
        <v>224</v>
      </c>
      <c r="E331" s="291">
        <v>0</v>
      </c>
      <c r="F331" s="291">
        <v>0</v>
      </c>
      <c r="G331" s="264" t="e">
        <f>F331/E331*100</f>
        <v>#DIV/0!</v>
      </c>
    </row>
    <row r="332" spans="1:7" ht="30" customHeight="1" hidden="1">
      <c r="A332" s="298"/>
      <c r="B332" s="299" t="s">
        <v>1335</v>
      </c>
      <c r="C332" s="316"/>
      <c r="D332" s="301" t="s">
        <v>1336</v>
      </c>
      <c r="E332" s="302">
        <f>SUM(E333)</f>
        <v>0</v>
      </c>
      <c r="F332" s="302">
        <f>SUM(F333)</f>
        <v>0</v>
      </c>
      <c r="G332" s="257" t="s">
        <v>144</v>
      </c>
    </row>
    <row r="333" spans="1:7" s="269" customFormat="1" ht="24" customHeight="1" hidden="1">
      <c r="A333" s="288"/>
      <c r="B333" s="289"/>
      <c r="C333" s="290" t="s">
        <v>385</v>
      </c>
      <c r="D333" s="262" t="s">
        <v>109</v>
      </c>
      <c r="E333" s="291">
        <v>0</v>
      </c>
      <c r="F333" s="291">
        <v>0</v>
      </c>
      <c r="G333" s="257" t="s">
        <v>144</v>
      </c>
    </row>
    <row r="334" spans="1:7" ht="20.25" customHeight="1">
      <c r="A334" s="298"/>
      <c r="B334" s="299" t="s">
        <v>750</v>
      </c>
      <c r="C334" s="316"/>
      <c r="D334" s="255" t="s">
        <v>1358</v>
      </c>
      <c r="E334" s="302">
        <f>SUM(E335,E336,E337,E338,E340,E342,E344,E345)</f>
        <v>331200</v>
      </c>
      <c r="F334" s="302">
        <f>SUM(F335,F336,F337,F338,F340,F342,F344,F345)</f>
        <v>198888.57</v>
      </c>
      <c r="G334" s="257">
        <f>F334/E334*100</f>
        <v>60.05089673913043</v>
      </c>
    </row>
    <row r="335" spans="1:7" ht="73.5" customHeight="1">
      <c r="A335" s="298"/>
      <c r="B335" s="299"/>
      <c r="C335" s="290" t="s">
        <v>416</v>
      </c>
      <c r="D335" s="331" t="s">
        <v>417</v>
      </c>
      <c r="E335" s="291">
        <v>0</v>
      </c>
      <c r="F335" s="291">
        <v>0.37</v>
      </c>
      <c r="G335" s="264" t="s">
        <v>144</v>
      </c>
    </row>
    <row r="336" spans="1:7" ht="21.75" customHeight="1">
      <c r="A336" s="298"/>
      <c r="B336" s="299"/>
      <c r="C336" s="290" t="s">
        <v>384</v>
      </c>
      <c r="D336" s="308" t="s">
        <v>154</v>
      </c>
      <c r="E336" s="291">
        <v>0</v>
      </c>
      <c r="F336" s="291">
        <v>6.78</v>
      </c>
      <c r="G336" s="264" t="s">
        <v>144</v>
      </c>
    </row>
    <row r="337" spans="1:7" ht="20.25" customHeight="1" hidden="1">
      <c r="A337" s="298"/>
      <c r="B337" s="299"/>
      <c r="C337" s="290" t="s">
        <v>385</v>
      </c>
      <c r="D337" s="262" t="s">
        <v>109</v>
      </c>
      <c r="E337" s="291">
        <v>0</v>
      </c>
      <c r="F337" s="291">
        <v>0</v>
      </c>
      <c r="G337" s="264" t="s">
        <v>144</v>
      </c>
    </row>
    <row r="338" spans="1:7" ht="65.25" customHeight="1">
      <c r="A338" s="288"/>
      <c r="B338" s="289"/>
      <c r="C338" s="290" t="s">
        <v>409</v>
      </c>
      <c r="D338" s="262" t="s">
        <v>1056</v>
      </c>
      <c r="E338" s="291">
        <v>315335</v>
      </c>
      <c r="F338" s="291">
        <v>189459.65</v>
      </c>
      <c r="G338" s="264">
        <f>F338/E338*100</f>
        <v>60.08202387936639</v>
      </c>
    </row>
    <row r="339" spans="1:7" ht="30" customHeight="1">
      <c r="A339" s="288"/>
      <c r="B339" s="289"/>
      <c r="C339" s="290"/>
      <c r="D339" s="262" t="s">
        <v>83</v>
      </c>
      <c r="E339" s="291"/>
      <c r="F339" s="291"/>
      <c r="G339" s="264"/>
    </row>
    <row r="340" spans="1:7" ht="71.25" customHeight="1" hidden="1">
      <c r="A340" s="288"/>
      <c r="B340" s="289"/>
      <c r="C340" s="290" t="s">
        <v>1242</v>
      </c>
      <c r="D340" s="262" t="s">
        <v>1056</v>
      </c>
      <c r="E340" s="291">
        <v>0</v>
      </c>
      <c r="F340" s="291">
        <v>0</v>
      </c>
      <c r="G340" s="264" t="s">
        <v>144</v>
      </c>
    </row>
    <row r="341" spans="1:7" ht="78.75" customHeight="1" hidden="1">
      <c r="A341" s="288"/>
      <c r="B341" s="289"/>
      <c r="C341" s="290"/>
      <c r="D341" s="262" t="s">
        <v>498</v>
      </c>
      <c r="E341" s="291"/>
      <c r="F341" s="291"/>
      <c r="G341" s="264"/>
    </row>
    <row r="342" spans="1:7" ht="63.75" customHeight="1">
      <c r="A342" s="288"/>
      <c r="B342" s="289"/>
      <c r="C342" s="290" t="s">
        <v>606</v>
      </c>
      <c r="D342" s="262" t="s">
        <v>1056</v>
      </c>
      <c r="E342" s="291">
        <v>15865</v>
      </c>
      <c r="F342" s="291">
        <v>9260.35</v>
      </c>
      <c r="G342" s="264">
        <f>F342/E342*100</f>
        <v>58.36968168925307</v>
      </c>
    </row>
    <row r="343" spans="1:7" ht="75.75" customHeight="1">
      <c r="A343" s="288"/>
      <c r="B343" s="289"/>
      <c r="C343" s="290"/>
      <c r="D343" s="262" t="s">
        <v>320</v>
      </c>
      <c r="E343" s="291"/>
      <c r="F343" s="291"/>
      <c r="G343" s="264"/>
    </row>
    <row r="344" spans="1:7" s="269" customFormat="1" ht="67.5" customHeight="1">
      <c r="A344" s="288"/>
      <c r="B344" s="289"/>
      <c r="C344" s="261">
        <v>2910</v>
      </c>
      <c r="D344" s="262" t="s">
        <v>512</v>
      </c>
      <c r="E344" s="291">
        <v>0</v>
      </c>
      <c r="F344" s="291">
        <v>161.42</v>
      </c>
      <c r="G344" s="264" t="s">
        <v>144</v>
      </c>
    </row>
    <row r="345" spans="1:7" s="269" customFormat="1" ht="53.25" customHeight="1" hidden="1">
      <c r="A345" s="288"/>
      <c r="B345" s="289"/>
      <c r="C345" s="261">
        <v>6298</v>
      </c>
      <c r="D345" s="270" t="s">
        <v>497</v>
      </c>
      <c r="E345" s="291">
        <v>0</v>
      </c>
      <c r="F345" s="291">
        <v>0</v>
      </c>
      <c r="G345" s="264" t="s">
        <v>144</v>
      </c>
    </row>
    <row r="346" spans="1:7" s="269" customFormat="1" ht="79.5" customHeight="1" hidden="1">
      <c r="A346" s="288"/>
      <c r="B346" s="289"/>
      <c r="C346" s="261"/>
      <c r="D346" s="262" t="s">
        <v>498</v>
      </c>
      <c r="E346" s="291"/>
      <c r="F346" s="291"/>
      <c r="G346" s="264"/>
    </row>
    <row r="347" spans="1:7" ht="21" customHeight="1">
      <c r="A347" s="303" t="s">
        <v>1482</v>
      </c>
      <c r="B347" s="304"/>
      <c r="C347" s="304"/>
      <c r="D347" s="319" t="s">
        <v>1485</v>
      </c>
      <c r="E347" s="284">
        <f>SUM(E348)</f>
        <v>73900</v>
      </c>
      <c r="F347" s="284">
        <f>SUM(F348)</f>
        <v>73900</v>
      </c>
      <c r="G347" s="251">
        <f aca="true" t="shared" si="13" ref="G347:G377">F347/E347*100</f>
        <v>100</v>
      </c>
    </row>
    <row r="348" spans="1:7" ht="17.25" customHeight="1">
      <c r="A348" s="298"/>
      <c r="B348" s="299" t="s">
        <v>50</v>
      </c>
      <c r="C348" s="299"/>
      <c r="D348" s="301" t="s">
        <v>51</v>
      </c>
      <c r="E348" s="302">
        <f>SUM(E349,E350)</f>
        <v>73900</v>
      </c>
      <c r="F348" s="302">
        <f>SUM(F349,F350)</f>
        <v>73900</v>
      </c>
      <c r="G348" s="257">
        <f t="shared" si="13"/>
        <v>100</v>
      </c>
    </row>
    <row r="349" spans="1:7" s="269" customFormat="1" ht="57" customHeight="1">
      <c r="A349" s="288"/>
      <c r="B349" s="289"/>
      <c r="C349" s="289" t="s">
        <v>438</v>
      </c>
      <c r="D349" s="270" t="s">
        <v>759</v>
      </c>
      <c r="E349" s="291">
        <v>7500</v>
      </c>
      <c r="F349" s="291">
        <v>7500</v>
      </c>
      <c r="G349" s="264">
        <f t="shared" si="13"/>
        <v>100</v>
      </c>
    </row>
    <row r="350" spans="1:7" s="269" customFormat="1" ht="41.25" customHeight="1">
      <c r="A350" s="288"/>
      <c r="B350" s="289"/>
      <c r="C350" s="289" t="s">
        <v>439</v>
      </c>
      <c r="D350" s="262" t="s">
        <v>224</v>
      </c>
      <c r="E350" s="291">
        <v>66400</v>
      </c>
      <c r="F350" s="291">
        <v>66400</v>
      </c>
      <c r="G350" s="264">
        <f t="shared" si="13"/>
        <v>100</v>
      </c>
    </row>
    <row r="351" spans="1:7" s="269" customFormat="1" ht="29.25" customHeight="1">
      <c r="A351" s="303" t="s">
        <v>53</v>
      </c>
      <c r="B351" s="304"/>
      <c r="C351" s="304"/>
      <c r="D351" s="319" t="s">
        <v>157</v>
      </c>
      <c r="E351" s="284">
        <f>SUM(E352,E357,E364,E375,E366,E369,E377)</f>
        <v>12506238</v>
      </c>
      <c r="F351" s="284">
        <f>SUM(F352,F357,F364,F375,F366,F369,F377)</f>
        <v>1946796.4900000002</v>
      </c>
      <c r="G351" s="251">
        <f t="shared" si="13"/>
        <v>15.566603562158344</v>
      </c>
    </row>
    <row r="352" spans="1:7" ht="21.75" customHeight="1" hidden="1">
      <c r="A352" s="298"/>
      <c r="B352" s="299" t="s">
        <v>458</v>
      </c>
      <c r="C352" s="316"/>
      <c r="D352" s="301" t="s">
        <v>459</v>
      </c>
      <c r="E352" s="302">
        <f>SUM(E353,E354,E355,E356)</f>
        <v>0</v>
      </c>
      <c r="F352" s="302">
        <f>SUM(F353,F354,F355,F356)</f>
        <v>0</v>
      </c>
      <c r="G352" s="257" t="e">
        <f t="shared" si="13"/>
        <v>#DIV/0!</v>
      </c>
    </row>
    <row r="353" spans="1:7" s="269" customFormat="1" ht="21.75" customHeight="1" hidden="1">
      <c r="A353" s="288"/>
      <c r="B353" s="289"/>
      <c r="C353" s="290" t="s">
        <v>369</v>
      </c>
      <c r="D353" s="262" t="s">
        <v>368</v>
      </c>
      <c r="E353" s="291">
        <v>0</v>
      </c>
      <c r="F353" s="291"/>
      <c r="G353" s="264" t="e">
        <f t="shared" si="13"/>
        <v>#DIV/0!</v>
      </c>
    </row>
    <row r="354" spans="1:7" s="269" customFormat="1" ht="21.75" customHeight="1" hidden="1">
      <c r="A354" s="288"/>
      <c r="B354" s="289"/>
      <c r="C354" s="290" t="s">
        <v>385</v>
      </c>
      <c r="D354" s="262" t="s">
        <v>109</v>
      </c>
      <c r="E354" s="291">
        <v>0</v>
      </c>
      <c r="F354" s="291"/>
      <c r="G354" s="264" t="e">
        <f t="shared" si="13"/>
        <v>#DIV/0!</v>
      </c>
    </row>
    <row r="355" spans="1:7" ht="30.75" customHeight="1" hidden="1">
      <c r="A355" s="288"/>
      <c r="B355" s="289"/>
      <c r="C355" s="290" t="s">
        <v>391</v>
      </c>
      <c r="D355" s="262" t="s">
        <v>230</v>
      </c>
      <c r="E355" s="291">
        <v>0</v>
      </c>
      <c r="F355" s="291"/>
      <c r="G355" s="264" t="e">
        <f t="shared" si="13"/>
        <v>#DIV/0!</v>
      </c>
    </row>
    <row r="356" spans="1:7" ht="54" customHeight="1" hidden="1">
      <c r="A356" s="288"/>
      <c r="B356" s="289"/>
      <c r="C356" s="290" t="s">
        <v>990</v>
      </c>
      <c r="D356" s="262" t="s">
        <v>994</v>
      </c>
      <c r="E356" s="291">
        <v>0</v>
      </c>
      <c r="F356" s="291">
        <v>0</v>
      </c>
      <c r="G356" s="264" t="e">
        <f t="shared" si="13"/>
        <v>#DIV/0!</v>
      </c>
    </row>
    <row r="357" spans="1:7" ht="18.75" customHeight="1">
      <c r="A357" s="298"/>
      <c r="B357" s="299" t="s">
        <v>1001</v>
      </c>
      <c r="C357" s="316"/>
      <c r="D357" s="301" t="s">
        <v>1002</v>
      </c>
      <c r="E357" s="302">
        <f>SUM(E358,E359,E361,E362)</f>
        <v>4485847</v>
      </c>
      <c r="F357" s="302">
        <f>SUM(F358,F359,F361,F362)</f>
        <v>83750.35</v>
      </c>
      <c r="G357" s="257">
        <f t="shared" si="13"/>
        <v>1.8669907823427774</v>
      </c>
    </row>
    <row r="358" spans="1:7" s="269" customFormat="1" ht="27" customHeight="1" hidden="1">
      <c r="A358" s="288"/>
      <c r="B358" s="289"/>
      <c r="C358" s="290"/>
      <c r="D358" s="270" t="s">
        <v>1277</v>
      </c>
      <c r="E358" s="291">
        <v>0</v>
      </c>
      <c r="F358" s="291">
        <v>0</v>
      </c>
      <c r="G358" s="264" t="s">
        <v>144</v>
      </c>
    </row>
    <row r="359" spans="1:7" s="269" customFormat="1" ht="67.5" customHeight="1">
      <c r="A359" s="323"/>
      <c r="B359" s="324"/>
      <c r="C359" s="289" t="s">
        <v>346</v>
      </c>
      <c r="D359" s="296" t="s">
        <v>348</v>
      </c>
      <c r="E359" s="291">
        <v>0</v>
      </c>
      <c r="F359" s="291">
        <v>83750.35</v>
      </c>
      <c r="G359" s="264" t="s">
        <v>144</v>
      </c>
    </row>
    <row r="360" spans="1:7" s="269" customFormat="1" ht="27" customHeight="1">
      <c r="A360" s="288"/>
      <c r="B360" s="289"/>
      <c r="C360" s="290"/>
      <c r="D360" s="262" t="s">
        <v>83</v>
      </c>
      <c r="E360" s="291"/>
      <c r="F360" s="291"/>
      <c r="G360" s="264"/>
    </row>
    <row r="361" spans="1:7" s="269" customFormat="1" ht="55.5" customHeight="1" hidden="1">
      <c r="A361" s="288"/>
      <c r="B361" s="289"/>
      <c r="C361" s="290" t="s">
        <v>990</v>
      </c>
      <c r="D361" s="262" t="s">
        <v>994</v>
      </c>
      <c r="E361" s="291">
        <v>0</v>
      </c>
      <c r="F361" s="291">
        <v>0</v>
      </c>
      <c r="G361" s="264" t="e">
        <f t="shared" si="13"/>
        <v>#DIV/0!</v>
      </c>
    </row>
    <row r="362" spans="1:7" ht="53.25" customHeight="1">
      <c r="A362" s="288"/>
      <c r="B362" s="289"/>
      <c r="C362" s="290" t="s">
        <v>1257</v>
      </c>
      <c r="D362" s="270" t="s">
        <v>497</v>
      </c>
      <c r="E362" s="291">
        <v>4485847</v>
      </c>
      <c r="F362" s="291">
        <v>0</v>
      </c>
      <c r="G362" s="264">
        <f t="shared" si="13"/>
        <v>0</v>
      </c>
    </row>
    <row r="363" spans="1:7" ht="66" customHeight="1">
      <c r="A363" s="288"/>
      <c r="B363" s="289"/>
      <c r="C363" s="290"/>
      <c r="D363" s="262" t="s">
        <v>498</v>
      </c>
      <c r="E363" s="291"/>
      <c r="F363" s="291"/>
      <c r="G363" s="264"/>
    </row>
    <row r="364" spans="1:7" ht="23.25" customHeight="1" hidden="1">
      <c r="A364" s="253"/>
      <c r="B364" s="275" t="s">
        <v>421</v>
      </c>
      <c r="C364" s="344"/>
      <c r="D364" s="255" t="s">
        <v>422</v>
      </c>
      <c r="E364" s="277">
        <f>SUM(E365)</f>
        <v>0</v>
      </c>
      <c r="F364" s="277">
        <f>SUM(F365)</f>
        <v>0</v>
      </c>
      <c r="G364" s="257" t="e">
        <f t="shared" si="13"/>
        <v>#DIV/0!</v>
      </c>
    </row>
    <row r="365" spans="1:7" ht="21" customHeight="1" hidden="1">
      <c r="A365" s="259"/>
      <c r="B365" s="266"/>
      <c r="C365" s="345" t="s">
        <v>385</v>
      </c>
      <c r="D365" s="270" t="s">
        <v>109</v>
      </c>
      <c r="E365" s="268">
        <v>0</v>
      </c>
      <c r="F365" s="268">
        <v>0</v>
      </c>
      <c r="G365" s="264" t="e">
        <f t="shared" si="13"/>
        <v>#DIV/0!</v>
      </c>
    </row>
    <row r="366" spans="1:7" ht="23.25" customHeight="1">
      <c r="A366" s="253"/>
      <c r="B366" s="275" t="s">
        <v>55</v>
      </c>
      <c r="C366" s="344"/>
      <c r="D366" s="255" t="s">
        <v>56</v>
      </c>
      <c r="E366" s="277">
        <f>SUM(E367,E368)</f>
        <v>0</v>
      </c>
      <c r="F366" s="277">
        <f>SUM(F367,F368)</f>
        <v>3944.7</v>
      </c>
      <c r="G366" s="257" t="s">
        <v>144</v>
      </c>
    </row>
    <row r="367" spans="1:7" s="269" customFormat="1" ht="18.75" customHeight="1" hidden="1">
      <c r="A367" s="288"/>
      <c r="B367" s="289"/>
      <c r="C367" s="289" t="s">
        <v>384</v>
      </c>
      <c r="D367" s="308" t="s">
        <v>154</v>
      </c>
      <c r="E367" s="291">
        <v>0</v>
      </c>
      <c r="F367" s="291">
        <v>0</v>
      </c>
      <c r="G367" s="264" t="s">
        <v>144</v>
      </c>
    </row>
    <row r="368" spans="1:7" ht="21" customHeight="1">
      <c r="A368" s="259"/>
      <c r="B368" s="266"/>
      <c r="C368" s="345" t="s">
        <v>385</v>
      </c>
      <c r="D368" s="270" t="s">
        <v>109</v>
      </c>
      <c r="E368" s="268">
        <v>0</v>
      </c>
      <c r="F368" s="268">
        <v>3944.7</v>
      </c>
      <c r="G368" s="257" t="s">
        <v>144</v>
      </c>
    </row>
    <row r="369" spans="1:7" ht="26.25" customHeight="1">
      <c r="A369" s="253"/>
      <c r="B369" s="275" t="s">
        <v>686</v>
      </c>
      <c r="C369" s="344"/>
      <c r="D369" s="255" t="s">
        <v>318</v>
      </c>
      <c r="E369" s="277">
        <f>SUM(E370,E371,E372,E373,E374)</f>
        <v>6803191</v>
      </c>
      <c r="F369" s="277">
        <f>SUM(F370,F371,F372,F373,F374)</f>
        <v>763703.91</v>
      </c>
      <c r="G369" s="257">
        <f t="shared" si="13"/>
        <v>11.225672041252407</v>
      </c>
    </row>
    <row r="370" spans="1:7" ht="27" customHeight="1" hidden="1">
      <c r="A370" s="259"/>
      <c r="B370" s="266"/>
      <c r="C370" s="345" t="s">
        <v>386</v>
      </c>
      <c r="D370" s="270" t="s">
        <v>1277</v>
      </c>
      <c r="E370" s="268">
        <v>0</v>
      </c>
      <c r="F370" s="268">
        <v>0</v>
      </c>
      <c r="G370" s="264" t="e">
        <f t="shared" si="13"/>
        <v>#DIV/0!</v>
      </c>
    </row>
    <row r="371" spans="1:7" ht="26.25" customHeight="1">
      <c r="A371" s="259"/>
      <c r="B371" s="266"/>
      <c r="C371" s="345" t="s">
        <v>1276</v>
      </c>
      <c r="D371" s="270" t="s">
        <v>1275</v>
      </c>
      <c r="E371" s="268">
        <v>6000</v>
      </c>
      <c r="F371" s="268">
        <v>3000</v>
      </c>
      <c r="G371" s="264">
        <f t="shared" si="13"/>
        <v>50</v>
      </c>
    </row>
    <row r="372" spans="1:7" ht="21" customHeight="1">
      <c r="A372" s="259"/>
      <c r="B372" s="266"/>
      <c r="C372" s="345" t="s">
        <v>387</v>
      </c>
      <c r="D372" s="262" t="s">
        <v>106</v>
      </c>
      <c r="E372" s="268">
        <v>6100000</v>
      </c>
      <c r="F372" s="268">
        <v>760522.16</v>
      </c>
      <c r="G372" s="264">
        <f t="shared" si="13"/>
        <v>12.467576393442624</v>
      </c>
    </row>
    <row r="373" spans="1:7" ht="20.25" customHeight="1">
      <c r="A373" s="259"/>
      <c r="B373" s="266"/>
      <c r="C373" s="345" t="s">
        <v>384</v>
      </c>
      <c r="D373" s="262" t="s">
        <v>110</v>
      </c>
      <c r="E373" s="268">
        <v>0</v>
      </c>
      <c r="F373" s="268">
        <v>181.75</v>
      </c>
      <c r="G373" s="264" t="s">
        <v>144</v>
      </c>
    </row>
    <row r="374" spans="1:7" ht="20.25" customHeight="1">
      <c r="A374" s="259"/>
      <c r="B374" s="266"/>
      <c r="C374" s="345" t="s">
        <v>385</v>
      </c>
      <c r="D374" s="270" t="s">
        <v>109</v>
      </c>
      <c r="E374" s="268">
        <v>697191</v>
      </c>
      <c r="F374" s="268">
        <v>0</v>
      </c>
      <c r="G374" s="264">
        <f t="shared" si="13"/>
        <v>0</v>
      </c>
    </row>
    <row r="375" spans="1:7" s="269" customFormat="1" ht="30.75" customHeight="1">
      <c r="A375" s="298"/>
      <c r="B375" s="299" t="s">
        <v>253</v>
      </c>
      <c r="C375" s="300"/>
      <c r="D375" s="301" t="s">
        <v>254</v>
      </c>
      <c r="E375" s="302">
        <f>E376</f>
        <v>16000</v>
      </c>
      <c r="F375" s="302">
        <f>F376</f>
        <v>2742.17</v>
      </c>
      <c r="G375" s="257">
        <f t="shared" si="13"/>
        <v>17.138562500000003</v>
      </c>
    </row>
    <row r="376" spans="1:7" s="269" customFormat="1" ht="22.5" customHeight="1">
      <c r="A376" s="288"/>
      <c r="B376" s="289"/>
      <c r="C376" s="290" t="s">
        <v>440</v>
      </c>
      <c r="D376" s="262" t="s">
        <v>255</v>
      </c>
      <c r="E376" s="291">
        <v>16000</v>
      </c>
      <c r="F376" s="291">
        <v>2742.17</v>
      </c>
      <c r="G376" s="264">
        <f t="shared" si="13"/>
        <v>17.138562500000003</v>
      </c>
    </row>
    <row r="377" spans="1:7" ht="20.25" customHeight="1">
      <c r="A377" s="346"/>
      <c r="B377" s="336" t="s">
        <v>57</v>
      </c>
      <c r="C377" s="336"/>
      <c r="D377" s="347" t="s">
        <v>1358</v>
      </c>
      <c r="E377" s="302">
        <f>SUM(E378,E379,E380,E381,E382,E383)</f>
        <v>1201200</v>
      </c>
      <c r="F377" s="302">
        <f>SUM(F378,F379,F380,F381,F382,F383)</f>
        <v>1092655.36</v>
      </c>
      <c r="G377" s="281">
        <f t="shared" si="13"/>
        <v>90.96364968364969</v>
      </c>
    </row>
    <row r="378" spans="1:7" ht="27" customHeight="1" hidden="1">
      <c r="A378" s="259"/>
      <c r="B378" s="266"/>
      <c r="C378" s="345" t="s">
        <v>386</v>
      </c>
      <c r="D378" s="270" t="s">
        <v>1277</v>
      </c>
      <c r="E378" s="268">
        <v>0</v>
      </c>
      <c r="F378" s="268">
        <v>0</v>
      </c>
      <c r="G378" s="264" t="s">
        <v>144</v>
      </c>
    </row>
    <row r="379" spans="1:7" ht="69.75" customHeight="1">
      <c r="A379" s="288"/>
      <c r="B379" s="289"/>
      <c r="C379" s="290" t="s">
        <v>388</v>
      </c>
      <c r="D379" s="262" t="s">
        <v>464</v>
      </c>
      <c r="E379" s="291">
        <v>2200</v>
      </c>
      <c r="F379" s="291">
        <v>1135.76</v>
      </c>
      <c r="G379" s="264">
        <f>F379/E379*100</f>
        <v>51.62545454545454</v>
      </c>
    </row>
    <row r="380" spans="1:7" s="269" customFormat="1" ht="21.75" customHeight="1">
      <c r="A380" s="288"/>
      <c r="B380" s="289"/>
      <c r="C380" s="290" t="s">
        <v>369</v>
      </c>
      <c r="D380" s="262" t="s">
        <v>368</v>
      </c>
      <c r="E380" s="291">
        <v>0</v>
      </c>
      <c r="F380" s="291">
        <v>335.16</v>
      </c>
      <c r="G380" s="264" t="s">
        <v>144</v>
      </c>
    </row>
    <row r="381" spans="1:7" s="269" customFormat="1" ht="18.75" customHeight="1">
      <c r="A381" s="288"/>
      <c r="B381" s="289"/>
      <c r="C381" s="289" t="s">
        <v>384</v>
      </c>
      <c r="D381" s="308" t="s">
        <v>154</v>
      </c>
      <c r="E381" s="291">
        <v>0</v>
      </c>
      <c r="F381" s="291">
        <v>2.69</v>
      </c>
      <c r="G381" s="264" t="s">
        <v>144</v>
      </c>
    </row>
    <row r="382" spans="1:7" s="269" customFormat="1" ht="21.75" customHeight="1">
      <c r="A382" s="288"/>
      <c r="B382" s="289"/>
      <c r="C382" s="289" t="s">
        <v>385</v>
      </c>
      <c r="D382" s="308" t="s">
        <v>109</v>
      </c>
      <c r="E382" s="291">
        <v>200000</v>
      </c>
      <c r="F382" s="291">
        <v>92055.75</v>
      </c>
      <c r="G382" s="264">
        <f>F382/E382*100</f>
        <v>46.027875</v>
      </c>
    </row>
    <row r="383" spans="1:7" s="269" customFormat="1" ht="50.25" customHeight="1">
      <c r="A383" s="288"/>
      <c r="B383" s="289"/>
      <c r="C383" s="289" t="s">
        <v>1257</v>
      </c>
      <c r="D383" s="270" t="s">
        <v>497</v>
      </c>
      <c r="E383" s="291">
        <v>999000</v>
      </c>
      <c r="F383" s="291">
        <v>999126</v>
      </c>
      <c r="G383" s="264">
        <f>F383/E383*100</f>
        <v>100.0126126126126</v>
      </c>
    </row>
    <row r="384" spans="1:7" s="269" customFormat="1" ht="75.75" customHeight="1">
      <c r="A384" s="288"/>
      <c r="B384" s="289"/>
      <c r="C384" s="289"/>
      <c r="D384" s="262" t="s">
        <v>498</v>
      </c>
      <c r="E384" s="291"/>
      <c r="F384" s="291"/>
      <c r="G384" s="264"/>
    </row>
    <row r="385" spans="1:7" s="274" customFormat="1" ht="27.75" customHeight="1">
      <c r="A385" s="303" t="s">
        <v>90</v>
      </c>
      <c r="B385" s="304"/>
      <c r="C385" s="304"/>
      <c r="D385" s="319" t="s">
        <v>1011</v>
      </c>
      <c r="E385" s="284">
        <f>SUM(E386,E389,E392,E399)</f>
        <v>0</v>
      </c>
      <c r="F385" s="284">
        <f>SUM(F386,F389,F392,F399)</f>
        <v>127875.79</v>
      </c>
      <c r="G385" s="251" t="s">
        <v>144</v>
      </c>
    </row>
    <row r="386" spans="1:7" ht="21.75" customHeight="1" hidden="1">
      <c r="A386" s="298"/>
      <c r="B386" s="299" t="s">
        <v>1012</v>
      </c>
      <c r="C386" s="299"/>
      <c r="D386" s="307" t="s">
        <v>1013</v>
      </c>
      <c r="E386" s="302">
        <f>SUM(E387,E388)</f>
        <v>0</v>
      </c>
      <c r="F386" s="302">
        <f>SUM(F387,F388)</f>
        <v>0</v>
      </c>
      <c r="G386" s="264" t="e">
        <f>F386/E386*100</f>
        <v>#DIV/0!</v>
      </c>
    </row>
    <row r="387" spans="1:7" s="269" customFormat="1" ht="21.75" customHeight="1" hidden="1">
      <c r="A387" s="288"/>
      <c r="B387" s="289"/>
      <c r="C387" s="289" t="s">
        <v>385</v>
      </c>
      <c r="D387" s="308" t="s">
        <v>109</v>
      </c>
      <c r="E387" s="291">
        <v>0</v>
      </c>
      <c r="F387" s="291">
        <v>0</v>
      </c>
      <c r="G387" s="264" t="e">
        <f>F387/E387*100</f>
        <v>#DIV/0!</v>
      </c>
    </row>
    <row r="388" spans="1:7" s="269" customFormat="1" ht="69.75" customHeight="1" hidden="1">
      <c r="A388" s="288"/>
      <c r="B388" s="289"/>
      <c r="C388" s="289" t="s">
        <v>268</v>
      </c>
      <c r="D388" s="262" t="s">
        <v>512</v>
      </c>
      <c r="E388" s="291">
        <v>0</v>
      </c>
      <c r="F388" s="291">
        <v>0</v>
      </c>
      <c r="G388" s="264" t="e">
        <f>F388/E388*100</f>
        <v>#DIV/0!</v>
      </c>
    </row>
    <row r="389" spans="1:7" s="269" customFormat="1" ht="16.5" customHeight="1">
      <c r="A389" s="288"/>
      <c r="B389" s="299" t="s">
        <v>1016</v>
      </c>
      <c r="C389" s="299"/>
      <c r="D389" s="307" t="s">
        <v>1017</v>
      </c>
      <c r="E389" s="302">
        <f>SUM(E390,E391)</f>
        <v>0</v>
      </c>
      <c r="F389" s="302">
        <f>SUM(F390,F391)</f>
        <v>13609.92</v>
      </c>
      <c r="G389" s="264" t="s">
        <v>144</v>
      </c>
    </row>
    <row r="390" spans="1:7" s="269" customFormat="1" ht="69.75" customHeight="1">
      <c r="A390" s="288"/>
      <c r="B390" s="289"/>
      <c r="C390" s="289" t="s">
        <v>416</v>
      </c>
      <c r="D390" s="331" t="s">
        <v>417</v>
      </c>
      <c r="E390" s="291">
        <v>0</v>
      </c>
      <c r="F390" s="291">
        <v>1299.61</v>
      </c>
      <c r="G390" s="264" t="s">
        <v>144</v>
      </c>
    </row>
    <row r="391" spans="1:7" s="269" customFormat="1" ht="68.25" customHeight="1">
      <c r="A391" s="288"/>
      <c r="B391" s="289"/>
      <c r="C391" s="289" t="s">
        <v>268</v>
      </c>
      <c r="D391" s="262" t="s">
        <v>512</v>
      </c>
      <c r="E391" s="291">
        <v>0</v>
      </c>
      <c r="F391" s="291">
        <v>12310.31</v>
      </c>
      <c r="G391" s="264" t="s">
        <v>144</v>
      </c>
    </row>
    <row r="392" spans="1:7" ht="21.75" customHeight="1">
      <c r="A392" s="298"/>
      <c r="B392" s="299" t="s">
        <v>473</v>
      </c>
      <c r="C392" s="299"/>
      <c r="D392" s="307" t="s">
        <v>474</v>
      </c>
      <c r="E392" s="302">
        <f>SUM(E393,E394,E395,E397)</f>
        <v>0</v>
      </c>
      <c r="F392" s="302">
        <f>SUM(F393,F394,F395,F397)</f>
        <v>114157.14</v>
      </c>
      <c r="G392" s="264" t="s">
        <v>144</v>
      </c>
    </row>
    <row r="393" spans="1:7" s="269" customFormat="1" ht="30.75" customHeight="1" hidden="1">
      <c r="A393" s="288"/>
      <c r="B393" s="289"/>
      <c r="C393" s="290" t="s">
        <v>386</v>
      </c>
      <c r="D393" s="262" t="s">
        <v>1277</v>
      </c>
      <c r="E393" s="291"/>
      <c r="F393" s="291"/>
      <c r="G393" s="264" t="e">
        <f>F393/E393*100</f>
        <v>#DIV/0!</v>
      </c>
    </row>
    <row r="394" spans="1:7" s="269" customFormat="1" ht="29.25" customHeight="1" hidden="1">
      <c r="A394" s="288"/>
      <c r="B394" s="289"/>
      <c r="C394" s="290" t="s">
        <v>1276</v>
      </c>
      <c r="D394" s="270" t="s">
        <v>1275</v>
      </c>
      <c r="E394" s="291"/>
      <c r="F394" s="291"/>
      <c r="G394" s="264" t="e">
        <f>F394/E394*100</f>
        <v>#DIV/0!</v>
      </c>
    </row>
    <row r="395" spans="1:7" s="269" customFormat="1" ht="67.5" customHeight="1">
      <c r="A395" s="323"/>
      <c r="B395" s="324"/>
      <c r="C395" s="289" t="s">
        <v>346</v>
      </c>
      <c r="D395" s="296" t="s">
        <v>348</v>
      </c>
      <c r="E395" s="291">
        <v>0</v>
      </c>
      <c r="F395" s="291">
        <v>114157.14</v>
      </c>
      <c r="G395" s="264" t="s">
        <v>144</v>
      </c>
    </row>
    <row r="396" spans="1:7" s="269" customFormat="1" ht="27" customHeight="1">
      <c r="A396" s="288"/>
      <c r="B396" s="289"/>
      <c r="C396" s="290"/>
      <c r="D396" s="262" t="s">
        <v>83</v>
      </c>
      <c r="E396" s="291"/>
      <c r="F396" s="291"/>
      <c r="G396" s="264"/>
    </row>
    <row r="397" spans="1:7" ht="53.25" customHeight="1" hidden="1">
      <c r="A397" s="288"/>
      <c r="B397" s="289"/>
      <c r="C397" s="290" t="s">
        <v>1257</v>
      </c>
      <c r="D397" s="270" t="s">
        <v>497</v>
      </c>
      <c r="E397" s="291">
        <v>0</v>
      </c>
      <c r="F397" s="291">
        <v>0</v>
      </c>
      <c r="G397" s="264" t="e">
        <f>F397/E397*100</f>
        <v>#DIV/0!</v>
      </c>
    </row>
    <row r="398" spans="1:7" ht="66" customHeight="1" hidden="1">
      <c r="A398" s="288"/>
      <c r="B398" s="289"/>
      <c r="C398" s="290"/>
      <c r="D398" s="262" t="s">
        <v>498</v>
      </c>
      <c r="E398" s="291"/>
      <c r="F398" s="291"/>
      <c r="G398" s="264"/>
    </row>
    <row r="399" spans="1:7" ht="21.75" customHeight="1">
      <c r="A399" s="298"/>
      <c r="B399" s="299" t="s">
        <v>1018</v>
      </c>
      <c r="C399" s="299"/>
      <c r="D399" s="307" t="s">
        <v>1358</v>
      </c>
      <c r="E399" s="302">
        <f>SUM(E400,E401,E402,E403,E404)</f>
        <v>0</v>
      </c>
      <c r="F399" s="302">
        <f>SUM(F400,F401,F402,F403,F404)</f>
        <v>108.73</v>
      </c>
      <c r="G399" s="264" t="s">
        <v>144</v>
      </c>
    </row>
    <row r="400" spans="1:7" ht="21.75" customHeight="1">
      <c r="A400" s="298"/>
      <c r="B400" s="299"/>
      <c r="C400" s="289" t="s">
        <v>384</v>
      </c>
      <c r="D400" s="308" t="s">
        <v>154</v>
      </c>
      <c r="E400" s="291">
        <v>0</v>
      </c>
      <c r="F400" s="291">
        <v>8.73</v>
      </c>
      <c r="G400" s="264" t="s">
        <v>144</v>
      </c>
    </row>
    <row r="401" spans="1:7" ht="31.5" customHeight="1">
      <c r="A401" s="298"/>
      <c r="B401" s="299"/>
      <c r="C401" s="289" t="s">
        <v>350</v>
      </c>
      <c r="D401" s="262" t="s">
        <v>351</v>
      </c>
      <c r="E401" s="291">
        <v>0</v>
      </c>
      <c r="F401" s="291">
        <v>100</v>
      </c>
      <c r="G401" s="264" t="s">
        <v>144</v>
      </c>
    </row>
    <row r="402" spans="1:7" s="269" customFormat="1" ht="22.5" customHeight="1" hidden="1">
      <c r="A402" s="288"/>
      <c r="B402" s="289"/>
      <c r="C402" s="289" t="s">
        <v>385</v>
      </c>
      <c r="D402" s="308" t="s">
        <v>109</v>
      </c>
      <c r="E402" s="291"/>
      <c r="F402" s="291"/>
      <c r="G402" s="264" t="e">
        <f>F402/E402*100</f>
        <v>#DIV/0!</v>
      </c>
    </row>
    <row r="403" spans="1:7" s="269" customFormat="1" ht="54.75" customHeight="1" hidden="1">
      <c r="A403" s="288"/>
      <c r="B403" s="289"/>
      <c r="C403" s="289" t="s">
        <v>530</v>
      </c>
      <c r="D403" s="270" t="s">
        <v>142</v>
      </c>
      <c r="E403" s="291">
        <v>0</v>
      </c>
      <c r="F403" s="291">
        <v>0</v>
      </c>
      <c r="G403" s="264" t="s">
        <v>144</v>
      </c>
    </row>
    <row r="404" spans="1:7" s="269" customFormat="1" ht="66" customHeight="1" hidden="1">
      <c r="A404" s="288"/>
      <c r="B404" s="289"/>
      <c r="C404" s="289" t="s">
        <v>990</v>
      </c>
      <c r="D404" s="262" t="s">
        <v>356</v>
      </c>
      <c r="E404" s="291">
        <v>0</v>
      </c>
      <c r="F404" s="291">
        <v>0</v>
      </c>
      <c r="G404" s="264" t="e">
        <f>F404/E404*100</f>
        <v>#DIV/0!</v>
      </c>
    </row>
    <row r="405" spans="1:7" ht="21" customHeight="1">
      <c r="A405" s="303" t="s">
        <v>91</v>
      </c>
      <c r="B405" s="304"/>
      <c r="C405" s="343"/>
      <c r="D405" s="319" t="s">
        <v>78</v>
      </c>
      <c r="E405" s="284">
        <f>SUM(E406,E415,E419)</f>
        <v>0</v>
      </c>
      <c r="F405" s="284">
        <f>SUM(F406,F415,F419)</f>
        <v>6872.07</v>
      </c>
      <c r="G405" s="251" t="s">
        <v>144</v>
      </c>
    </row>
    <row r="406" spans="1:7" s="269" customFormat="1" ht="18" customHeight="1" hidden="1">
      <c r="A406" s="298"/>
      <c r="B406" s="299" t="s">
        <v>94</v>
      </c>
      <c r="C406" s="316"/>
      <c r="D406" s="301" t="s">
        <v>95</v>
      </c>
      <c r="E406" s="302">
        <f>SUM(E408,E409,E410,E411,E413,E414)</f>
        <v>0</v>
      </c>
      <c r="F406" s="302">
        <f>SUM(F408,F409,F410,F411,F413,F414)</f>
        <v>0</v>
      </c>
      <c r="G406" s="257" t="s">
        <v>144</v>
      </c>
    </row>
    <row r="407" spans="1:7" s="269" customFormat="1" ht="30.75" customHeight="1" hidden="1">
      <c r="A407" s="288"/>
      <c r="B407" s="289"/>
      <c r="C407" s="290" t="s">
        <v>386</v>
      </c>
      <c r="D407" s="262" t="s">
        <v>1277</v>
      </c>
      <c r="E407" s="291">
        <v>0</v>
      </c>
      <c r="F407" s="291">
        <v>0</v>
      </c>
      <c r="G407" s="257" t="e">
        <f>F407/E407*100</f>
        <v>#DIV/0!</v>
      </c>
    </row>
    <row r="408" spans="1:7" s="269" customFormat="1" ht="29.25" customHeight="1" hidden="1">
      <c r="A408" s="288"/>
      <c r="B408" s="289"/>
      <c r="C408" s="290" t="s">
        <v>1276</v>
      </c>
      <c r="D408" s="270" t="s">
        <v>1275</v>
      </c>
      <c r="E408" s="291">
        <v>0</v>
      </c>
      <c r="F408" s="291">
        <v>0</v>
      </c>
      <c r="G408" s="264" t="e">
        <f>F408/E408*100</f>
        <v>#DIV/0!</v>
      </c>
    </row>
    <row r="409" spans="1:7" s="269" customFormat="1" ht="21.75" customHeight="1" hidden="1">
      <c r="A409" s="348"/>
      <c r="B409" s="349"/>
      <c r="C409" s="349" t="s">
        <v>385</v>
      </c>
      <c r="D409" s="350" t="s">
        <v>109</v>
      </c>
      <c r="E409" s="351">
        <v>0</v>
      </c>
      <c r="F409" s="351">
        <v>0</v>
      </c>
      <c r="G409" s="352" t="s">
        <v>144</v>
      </c>
    </row>
    <row r="410" spans="1:7" s="274" customFormat="1" ht="52.5" customHeight="1" hidden="1">
      <c r="A410" s="298"/>
      <c r="B410" s="299"/>
      <c r="C410" s="289" t="s">
        <v>990</v>
      </c>
      <c r="D410" s="262" t="s">
        <v>994</v>
      </c>
      <c r="E410" s="291">
        <v>0</v>
      </c>
      <c r="F410" s="291"/>
      <c r="G410" s="264" t="e">
        <f>F410/E410*100</f>
        <v>#DIV/0!</v>
      </c>
    </row>
    <row r="411" spans="1:7" ht="53.25" customHeight="1" hidden="1">
      <c r="A411" s="288"/>
      <c r="B411" s="289"/>
      <c r="C411" s="290" t="s">
        <v>1257</v>
      </c>
      <c r="D411" s="270" t="s">
        <v>497</v>
      </c>
      <c r="E411" s="291">
        <v>0</v>
      </c>
      <c r="F411" s="291">
        <v>0</v>
      </c>
      <c r="G411" s="264" t="e">
        <f>F411/E411*100</f>
        <v>#DIV/0!</v>
      </c>
    </row>
    <row r="412" spans="1:7" ht="66" customHeight="1" hidden="1">
      <c r="A412" s="288"/>
      <c r="B412" s="289"/>
      <c r="C412" s="290"/>
      <c r="D412" s="262" t="s">
        <v>498</v>
      </c>
      <c r="E412" s="291"/>
      <c r="F412" s="291"/>
      <c r="G412" s="264"/>
    </row>
    <row r="413" spans="1:7" s="274" customFormat="1" ht="54" customHeight="1" hidden="1">
      <c r="A413" s="298"/>
      <c r="B413" s="299"/>
      <c r="C413" s="289" t="s">
        <v>991</v>
      </c>
      <c r="D413" s="262" t="s">
        <v>995</v>
      </c>
      <c r="E413" s="291">
        <v>0</v>
      </c>
      <c r="F413" s="291">
        <v>0</v>
      </c>
      <c r="G413" s="264" t="e">
        <f>F413/E413*100</f>
        <v>#DIV/0!</v>
      </c>
    </row>
    <row r="414" spans="1:7" s="342" customFormat="1" ht="42" customHeight="1" hidden="1">
      <c r="A414" s="312"/>
      <c r="B414" s="313"/>
      <c r="C414" s="327" t="s">
        <v>436</v>
      </c>
      <c r="D414" s="328" t="s">
        <v>243</v>
      </c>
      <c r="E414" s="315">
        <v>0</v>
      </c>
      <c r="F414" s="315">
        <v>0</v>
      </c>
      <c r="G414" s="294" t="e">
        <f>F414/E414*100</f>
        <v>#DIV/0!</v>
      </c>
    </row>
    <row r="415" spans="1:7" ht="19.5" customHeight="1">
      <c r="A415" s="298"/>
      <c r="B415" s="336" t="s">
        <v>96</v>
      </c>
      <c r="C415" s="394"/>
      <c r="D415" s="395" t="s">
        <v>82</v>
      </c>
      <c r="E415" s="339">
        <f>SUM(E416,E417,E418)</f>
        <v>0</v>
      </c>
      <c r="F415" s="339">
        <f>SUM(F416,F417,F418)</f>
        <v>6872.07</v>
      </c>
      <c r="G415" s="281" t="s">
        <v>144</v>
      </c>
    </row>
    <row r="416" spans="1:7" ht="66" customHeight="1">
      <c r="A416" s="298"/>
      <c r="B416" s="336"/>
      <c r="C416" s="289" t="s">
        <v>416</v>
      </c>
      <c r="D416" s="331" t="s">
        <v>417</v>
      </c>
      <c r="E416" s="291">
        <v>0</v>
      </c>
      <c r="F416" s="291">
        <v>1872.07</v>
      </c>
      <c r="G416" s="264" t="s">
        <v>144</v>
      </c>
    </row>
    <row r="417" spans="1:7" s="269" customFormat="1" ht="22.5" customHeight="1" hidden="1">
      <c r="A417" s="348"/>
      <c r="B417" s="349"/>
      <c r="C417" s="349" t="s">
        <v>385</v>
      </c>
      <c r="D417" s="350" t="s">
        <v>109</v>
      </c>
      <c r="E417" s="351"/>
      <c r="F417" s="351"/>
      <c r="G417" s="352" t="s">
        <v>144</v>
      </c>
    </row>
    <row r="418" spans="1:7" ht="64.5" customHeight="1">
      <c r="A418" s="348"/>
      <c r="B418" s="396"/>
      <c r="C418" s="397" t="s">
        <v>268</v>
      </c>
      <c r="D418" s="1403" t="s">
        <v>626</v>
      </c>
      <c r="E418" s="399">
        <v>0</v>
      </c>
      <c r="F418" s="399">
        <v>5000</v>
      </c>
      <c r="G418" s="400" t="s">
        <v>144</v>
      </c>
    </row>
    <row r="419" spans="1:7" ht="21.75" customHeight="1" hidden="1">
      <c r="A419" s="298"/>
      <c r="B419" s="336" t="s">
        <v>992</v>
      </c>
      <c r="C419" s="394"/>
      <c r="D419" s="395" t="s">
        <v>1358</v>
      </c>
      <c r="E419" s="339">
        <f>SUM(E420)</f>
        <v>0</v>
      </c>
      <c r="F419" s="339">
        <f>SUM(F420)</f>
        <v>0</v>
      </c>
      <c r="G419" s="281" t="e">
        <f>F419/E419*100</f>
        <v>#DIV/0!</v>
      </c>
    </row>
    <row r="420" spans="1:7" ht="44.25" customHeight="1" hidden="1">
      <c r="A420" s="348"/>
      <c r="B420" s="396"/>
      <c r="C420" s="397" t="s">
        <v>993</v>
      </c>
      <c r="D420" s="398" t="s">
        <v>997</v>
      </c>
      <c r="E420" s="399">
        <v>0</v>
      </c>
      <c r="F420" s="399"/>
      <c r="G420" s="400" t="e">
        <f>F420/E420*100</f>
        <v>#DIV/0!</v>
      </c>
    </row>
    <row r="421" spans="1:7" s="384" customFormat="1" ht="19.5" customHeight="1">
      <c r="A421" s="1612" t="s">
        <v>108</v>
      </c>
      <c r="B421" s="1613"/>
      <c r="C421" s="1613"/>
      <c r="D421" s="1614"/>
      <c r="E421" s="382">
        <f>SUM(E422,E425,E451,E455,E470,E481,E487,E496,E522,E529,E508,E554,E570,E585)</f>
        <v>63997099.99</v>
      </c>
      <c r="F421" s="382">
        <f>SUM(F422,F425,F451,F455,F470,F481,F487,F496,F522,F529,F508,F554,F570,F585)</f>
        <v>29192584.650000002</v>
      </c>
      <c r="G421" s="383">
        <f aca="true" t="shared" si="14" ref="G421:G448">F421/E421*100</f>
        <v>45.61548047421141</v>
      </c>
    </row>
    <row r="422" spans="1:7" s="390" customFormat="1" ht="16.5" customHeight="1" hidden="1">
      <c r="A422" s="247" t="s">
        <v>1357</v>
      </c>
      <c r="B422" s="248"/>
      <c r="C422" s="248"/>
      <c r="D422" s="249" t="s">
        <v>650</v>
      </c>
      <c r="E422" s="250">
        <f>SUM(E423)</f>
        <v>0</v>
      </c>
      <c r="F422" s="250">
        <f>SUM(F423)</f>
        <v>0</v>
      </c>
      <c r="G422" s="251" t="e">
        <f t="shared" si="14"/>
        <v>#DIV/0!</v>
      </c>
    </row>
    <row r="423" spans="1:7" s="354" customFormat="1" ht="30.75" customHeight="1" hidden="1">
      <c r="A423" s="253"/>
      <c r="B423" s="254" t="s">
        <v>343</v>
      </c>
      <c r="C423" s="254"/>
      <c r="D423" s="1404" t="s">
        <v>345</v>
      </c>
      <c r="E423" s="256">
        <f>SUM(E424)</f>
        <v>0</v>
      </c>
      <c r="F423" s="256">
        <f>SUM(F424)</f>
        <v>0</v>
      </c>
      <c r="G423" s="257" t="e">
        <f t="shared" si="14"/>
        <v>#DIV/0!</v>
      </c>
    </row>
    <row r="424" spans="1:7" s="354" customFormat="1" ht="59.25" customHeight="1" hidden="1">
      <c r="A424" s="259"/>
      <c r="B424" s="260"/>
      <c r="C424" s="260" t="s">
        <v>344</v>
      </c>
      <c r="D424" s="270" t="s">
        <v>209</v>
      </c>
      <c r="E424" s="263">
        <v>0</v>
      </c>
      <c r="F424" s="263">
        <v>0</v>
      </c>
      <c r="G424" s="264" t="e">
        <f t="shared" si="14"/>
        <v>#DIV/0!</v>
      </c>
    </row>
    <row r="425" spans="1:7" s="353" customFormat="1" ht="21.75" customHeight="1">
      <c r="A425" s="247" t="s">
        <v>1414</v>
      </c>
      <c r="B425" s="271"/>
      <c r="C425" s="271"/>
      <c r="D425" s="282" t="s">
        <v>1415</v>
      </c>
      <c r="E425" s="273">
        <f>SUM(E426,E431)</f>
        <v>2216000</v>
      </c>
      <c r="F425" s="273">
        <f>SUM(F426,F431)</f>
        <v>1424012.06</v>
      </c>
      <c r="G425" s="251">
        <f t="shared" si="14"/>
        <v>64.26047202166065</v>
      </c>
    </row>
    <row r="426" spans="1:7" s="354" customFormat="1" ht="19.5" customHeight="1" hidden="1">
      <c r="A426" s="253"/>
      <c r="B426" s="275" t="s">
        <v>1444</v>
      </c>
      <c r="C426" s="275"/>
      <c r="D426" s="255" t="s">
        <v>1258</v>
      </c>
      <c r="E426" s="277">
        <f>SUM(E427,E429)</f>
        <v>0</v>
      </c>
      <c r="F426" s="277">
        <f>SUM(F427,F429)</f>
        <v>0</v>
      </c>
      <c r="G426" s="264" t="s">
        <v>144</v>
      </c>
    </row>
    <row r="427" spans="1:7" s="269" customFormat="1" ht="29.25" customHeight="1" hidden="1">
      <c r="A427" s="288"/>
      <c r="B427" s="289"/>
      <c r="C427" s="290" t="s">
        <v>1276</v>
      </c>
      <c r="D427" s="270" t="s">
        <v>1275</v>
      </c>
      <c r="E427" s="291">
        <v>0</v>
      </c>
      <c r="F427" s="291">
        <v>0</v>
      </c>
      <c r="G427" s="264" t="s">
        <v>144</v>
      </c>
    </row>
    <row r="428" spans="1:7" s="297" customFormat="1" ht="30" customHeight="1" hidden="1">
      <c r="A428" s="259"/>
      <c r="B428" s="266"/>
      <c r="C428" s="266"/>
      <c r="D428" s="270"/>
      <c r="E428" s="268"/>
      <c r="F428" s="268"/>
      <c r="G428" s="264"/>
    </row>
    <row r="429" spans="1:7" s="297" customFormat="1" ht="54" customHeight="1" hidden="1">
      <c r="A429" s="259"/>
      <c r="B429" s="266"/>
      <c r="C429" s="266" t="s">
        <v>1257</v>
      </c>
      <c r="D429" s="270" t="s">
        <v>1443</v>
      </c>
      <c r="E429" s="268">
        <v>0</v>
      </c>
      <c r="F429" s="268">
        <v>0</v>
      </c>
      <c r="G429" s="257" t="e">
        <f t="shared" si="14"/>
        <v>#DIV/0!</v>
      </c>
    </row>
    <row r="430" spans="1:7" s="297" customFormat="1" ht="65.25" customHeight="1" hidden="1">
      <c r="A430" s="259"/>
      <c r="B430" s="266"/>
      <c r="C430" s="266"/>
      <c r="D430" s="270" t="s">
        <v>571</v>
      </c>
      <c r="E430" s="268"/>
      <c r="F430" s="268"/>
      <c r="G430" s="257" t="e">
        <f t="shared" si="14"/>
        <v>#DIV/0!</v>
      </c>
    </row>
    <row r="431" spans="1:7" s="354" customFormat="1" ht="39" customHeight="1">
      <c r="A431" s="253"/>
      <c r="B431" s="275" t="s">
        <v>1416</v>
      </c>
      <c r="C431" s="275"/>
      <c r="D431" s="255" t="s">
        <v>426</v>
      </c>
      <c r="E431" s="277">
        <f>SUM(E432,E433,E434,E435,E436,E437,E438,E439,E440,E441,E442,E444,E445,E447,E448,E450)</f>
        <v>2216000</v>
      </c>
      <c r="F431" s="277">
        <f>SUM(F432,F433,F434,F435,F436,F437,F438,F439,F440,F441,F442,F444,F445,F447,F448,F450)</f>
        <v>1424012.06</v>
      </c>
      <c r="G431" s="257">
        <f t="shared" si="14"/>
        <v>64.26047202166065</v>
      </c>
    </row>
    <row r="432" spans="1:7" s="297" customFormat="1" ht="27" customHeight="1" hidden="1">
      <c r="A432" s="259"/>
      <c r="B432" s="266"/>
      <c r="C432" s="266" t="s">
        <v>386</v>
      </c>
      <c r="D432" s="270" t="s">
        <v>1277</v>
      </c>
      <c r="E432" s="268">
        <v>0</v>
      </c>
      <c r="F432" s="268">
        <v>0</v>
      </c>
      <c r="G432" s="264" t="s">
        <v>144</v>
      </c>
    </row>
    <row r="433" spans="1:7" s="297" customFormat="1" ht="27.75" customHeight="1">
      <c r="A433" s="259"/>
      <c r="B433" s="266"/>
      <c r="C433" s="266" t="s">
        <v>1276</v>
      </c>
      <c r="D433" s="270" t="s">
        <v>1275</v>
      </c>
      <c r="E433" s="268">
        <v>0</v>
      </c>
      <c r="F433" s="268">
        <v>307981</v>
      </c>
      <c r="G433" s="264" t="s">
        <v>144</v>
      </c>
    </row>
    <row r="434" spans="1:7" s="297" customFormat="1" ht="27.75" customHeight="1" hidden="1">
      <c r="A434" s="259"/>
      <c r="B434" s="266"/>
      <c r="C434" s="266" t="s">
        <v>387</v>
      </c>
      <c r="D434" s="270" t="s">
        <v>106</v>
      </c>
      <c r="E434" s="268">
        <v>0</v>
      </c>
      <c r="F434" s="268">
        <v>0</v>
      </c>
      <c r="G434" s="264" t="e">
        <f t="shared" si="14"/>
        <v>#DIV/0!</v>
      </c>
    </row>
    <row r="435" spans="1:7" s="297" customFormat="1" ht="70.5" customHeight="1">
      <c r="A435" s="259"/>
      <c r="B435" s="266"/>
      <c r="C435" s="266" t="s">
        <v>388</v>
      </c>
      <c r="D435" s="262" t="s">
        <v>464</v>
      </c>
      <c r="E435" s="268">
        <v>315500</v>
      </c>
      <c r="F435" s="268">
        <v>110916.04</v>
      </c>
      <c r="G435" s="264">
        <f t="shared" si="14"/>
        <v>35.155638668779716</v>
      </c>
    </row>
    <row r="436" spans="1:7" s="297" customFormat="1" ht="27.75" customHeight="1">
      <c r="A436" s="259"/>
      <c r="B436" s="266"/>
      <c r="C436" s="266" t="s">
        <v>383</v>
      </c>
      <c r="D436" s="270" t="s">
        <v>156</v>
      </c>
      <c r="E436" s="268">
        <v>140000</v>
      </c>
      <c r="F436" s="268">
        <v>86192.99</v>
      </c>
      <c r="G436" s="264">
        <f t="shared" si="14"/>
        <v>61.56642142857143</v>
      </c>
    </row>
    <row r="437" spans="1:7" s="297" customFormat="1" ht="27.75" customHeight="1" hidden="1">
      <c r="A437" s="259"/>
      <c r="B437" s="266"/>
      <c r="C437" s="266" t="s">
        <v>354</v>
      </c>
      <c r="D437" s="270" t="s">
        <v>355</v>
      </c>
      <c r="E437" s="268">
        <v>0</v>
      </c>
      <c r="F437" s="268">
        <v>0</v>
      </c>
      <c r="G437" s="264" t="e">
        <f t="shared" si="14"/>
        <v>#DIV/0!</v>
      </c>
    </row>
    <row r="438" spans="1:7" s="297" customFormat="1" ht="27.75" customHeight="1">
      <c r="A438" s="259"/>
      <c r="B438" s="266"/>
      <c r="C438" s="266" t="s">
        <v>369</v>
      </c>
      <c r="D438" s="270" t="s">
        <v>368</v>
      </c>
      <c r="E438" s="268">
        <v>4000</v>
      </c>
      <c r="F438" s="268">
        <v>5057.5</v>
      </c>
      <c r="G438" s="264">
        <f t="shared" si="14"/>
        <v>126.4375</v>
      </c>
    </row>
    <row r="439" spans="1:7" s="297" customFormat="1" ht="18.75" customHeight="1">
      <c r="A439" s="259"/>
      <c r="B439" s="266"/>
      <c r="C439" s="289" t="s">
        <v>384</v>
      </c>
      <c r="D439" s="308" t="s">
        <v>154</v>
      </c>
      <c r="E439" s="268">
        <v>500</v>
      </c>
      <c r="F439" s="268">
        <v>300.51</v>
      </c>
      <c r="G439" s="294">
        <f t="shared" si="14"/>
        <v>60.102</v>
      </c>
    </row>
    <row r="440" spans="1:7" s="297" customFormat="1" ht="18" customHeight="1">
      <c r="A440" s="259"/>
      <c r="B440" s="266"/>
      <c r="C440" s="266" t="s">
        <v>385</v>
      </c>
      <c r="D440" s="270" t="s">
        <v>109</v>
      </c>
      <c r="E440" s="268">
        <v>0</v>
      </c>
      <c r="F440" s="268">
        <v>13387.2</v>
      </c>
      <c r="G440" s="294" t="s">
        <v>144</v>
      </c>
    </row>
    <row r="441" spans="1:7" s="297" customFormat="1" ht="41.25" customHeight="1" hidden="1">
      <c r="A441" s="259"/>
      <c r="B441" s="266"/>
      <c r="C441" s="266" t="s">
        <v>1369</v>
      </c>
      <c r="D441" s="270" t="s">
        <v>689</v>
      </c>
      <c r="E441" s="268">
        <v>0</v>
      </c>
      <c r="F441" s="268">
        <v>0</v>
      </c>
      <c r="G441" s="294" t="s">
        <v>144</v>
      </c>
    </row>
    <row r="442" spans="1:7" s="297" customFormat="1" ht="65.25" customHeight="1">
      <c r="A442" s="259"/>
      <c r="B442" s="266"/>
      <c r="C442" s="266" t="s">
        <v>346</v>
      </c>
      <c r="D442" s="296" t="s">
        <v>348</v>
      </c>
      <c r="E442" s="268">
        <v>1520000</v>
      </c>
      <c r="F442" s="268">
        <v>872540.48</v>
      </c>
      <c r="G442" s="294">
        <f t="shared" si="14"/>
        <v>57.403978947368415</v>
      </c>
    </row>
    <row r="443" spans="1:7" s="297" customFormat="1" ht="26.25" customHeight="1">
      <c r="A443" s="259"/>
      <c r="B443" s="266"/>
      <c r="C443" s="266"/>
      <c r="D443" s="262" t="s">
        <v>83</v>
      </c>
      <c r="E443" s="268"/>
      <c r="F443" s="268"/>
      <c r="G443" s="294"/>
    </row>
    <row r="444" spans="1:7" s="297" customFormat="1" ht="52.5" customHeight="1">
      <c r="A444" s="259"/>
      <c r="B444" s="266"/>
      <c r="C444" s="266" t="s">
        <v>441</v>
      </c>
      <c r="D444" s="270" t="s">
        <v>497</v>
      </c>
      <c r="E444" s="263">
        <v>0</v>
      </c>
      <c r="F444" s="263">
        <v>27636.34</v>
      </c>
      <c r="G444" s="294" t="s">
        <v>144</v>
      </c>
    </row>
    <row r="445" spans="1:7" s="297" customFormat="1" ht="51" customHeight="1" hidden="1">
      <c r="A445" s="259"/>
      <c r="B445" s="286"/>
      <c r="C445" s="266" t="s">
        <v>1257</v>
      </c>
      <c r="D445" s="270" t="s">
        <v>497</v>
      </c>
      <c r="E445" s="263">
        <v>0</v>
      </c>
      <c r="F445" s="263">
        <v>0</v>
      </c>
      <c r="G445" s="294" t="e">
        <f t="shared" si="14"/>
        <v>#DIV/0!</v>
      </c>
    </row>
    <row r="446" spans="1:7" s="297" customFormat="1" ht="79.5" customHeight="1" hidden="1">
      <c r="A446" s="259"/>
      <c r="B446" s="286"/>
      <c r="C446" s="266"/>
      <c r="D446" s="262" t="s">
        <v>498</v>
      </c>
      <c r="E446" s="263"/>
      <c r="F446" s="263"/>
      <c r="G446" s="294"/>
    </row>
    <row r="447" spans="1:7" s="297" customFormat="1" ht="29.25" customHeight="1">
      <c r="A447" s="259"/>
      <c r="B447" s="286"/>
      <c r="C447" s="1503" t="s">
        <v>436</v>
      </c>
      <c r="D447" s="1504" t="s">
        <v>243</v>
      </c>
      <c r="E447" s="1505">
        <v>236000</v>
      </c>
      <c r="F447" s="1505">
        <v>0</v>
      </c>
      <c r="G447" s="264">
        <f>F447/E447*100</f>
        <v>0</v>
      </c>
    </row>
    <row r="448" spans="1:7" s="297" customFormat="1" ht="57" customHeight="1" hidden="1">
      <c r="A448" s="259"/>
      <c r="B448" s="286"/>
      <c r="C448" s="266" t="s">
        <v>1199</v>
      </c>
      <c r="D448" s="270" t="s">
        <v>623</v>
      </c>
      <c r="E448" s="263">
        <v>0</v>
      </c>
      <c r="F448" s="263"/>
      <c r="G448" s="294" t="e">
        <f t="shared" si="14"/>
        <v>#DIV/0!</v>
      </c>
    </row>
    <row r="449" spans="1:7" s="297" customFormat="1" ht="30" customHeight="1" hidden="1">
      <c r="A449" s="259"/>
      <c r="B449" s="286"/>
      <c r="C449" s="266"/>
      <c r="D449" s="270" t="s">
        <v>624</v>
      </c>
      <c r="E449" s="263"/>
      <c r="F449" s="263"/>
      <c r="G449" s="264"/>
    </row>
    <row r="450" spans="1:7" s="297" customFormat="1" ht="40.5" customHeight="1" hidden="1">
      <c r="A450" s="259"/>
      <c r="B450" s="286"/>
      <c r="C450" s="266" t="s">
        <v>77</v>
      </c>
      <c r="D450" s="270" t="s">
        <v>85</v>
      </c>
      <c r="E450" s="263">
        <v>0</v>
      </c>
      <c r="F450" s="263">
        <v>0</v>
      </c>
      <c r="G450" s="264" t="e">
        <f>F450/E450*100</f>
        <v>#DIV/0!</v>
      </c>
    </row>
    <row r="451" spans="1:7" s="353" customFormat="1" ht="20.25" customHeight="1">
      <c r="A451" s="247" t="s">
        <v>1421</v>
      </c>
      <c r="B451" s="355"/>
      <c r="C451" s="271"/>
      <c r="D451" s="272" t="s">
        <v>1422</v>
      </c>
      <c r="E451" s="273">
        <f>SUM(E452)</f>
        <v>55000</v>
      </c>
      <c r="F451" s="273">
        <f>SUM(F452)</f>
        <v>55000</v>
      </c>
      <c r="G451" s="251">
        <f>F451/E451*100</f>
        <v>100</v>
      </c>
    </row>
    <row r="452" spans="1:7" s="354" customFormat="1" ht="21" customHeight="1">
      <c r="A452" s="259"/>
      <c r="B452" s="287" t="s">
        <v>1423</v>
      </c>
      <c r="C452" s="287"/>
      <c r="D452" s="356" t="s">
        <v>1424</v>
      </c>
      <c r="E452" s="279">
        <f>SUM(E453,E454)</f>
        <v>55000</v>
      </c>
      <c r="F452" s="279">
        <f>SUM(F453,F454)</f>
        <v>55000</v>
      </c>
      <c r="G452" s="281">
        <f>F452/E452*100</f>
        <v>100</v>
      </c>
    </row>
    <row r="453" spans="1:7" s="265" customFormat="1" ht="55.5" customHeight="1">
      <c r="A453" s="259"/>
      <c r="B453" s="260"/>
      <c r="C453" s="261">
        <v>2110</v>
      </c>
      <c r="D453" s="262" t="s">
        <v>209</v>
      </c>
      <c r="E453" s="263">
        <v>53400</v>
      </c>
      <c r="F453" s="263">
        <v>53400</v>
      </c>
      <c r="G453" s="264">
        <f>F453/E453*100</f>
        <v>100</v>
      </c>
    </row>
    <row r="454" spans="1:7" s="269" customFormat="1" ht="55.5" customHeight="1">
      <c r="A454" s="288"/>
      <c r="B454" s="289"/>
      <c r="C454" s="261">
        <v>6410</v>
      </c>
      <c r="D454" s="262" t="s">
        <v>1266</v>
      </c>
      <c r="E454" s="291">
        <v>1600</v>
      </c>
      <c r="F454" s="291">
        <v>1600</v>
      </c>
      <c r="G454" s="264">
        <f>F454/E454*100</f>
        <v>100</v>
      </c>
    </row>
    <row r="455" spans="1:7" s="354" customFormat="1" ht="19.5" customHeight="1">
      <c r="A455" s="247" t="s">
        <v>1425</v>
      </c>
      <c r="B455" s="271"/>
      <c r="C455" s="357"/>
      <c r="D455" s="272" t="s">
        <v>1426</v>
      </c>
      <c r="E455" s="273">
        <f>SUM(E456,E458,E465,E468)</f>
        <v>736000</v>
      </c>
      <c r="F455" s="273">
        <f>SUM(F456,F458,F465,F468)</f>
        <v>580688.3400000001</v>
      </c>
      <c r="G455" s="251">
        <f aca="true" t="shared" si="15" ref="G455:G465">F455/E455*100</f>
        <v>78.8978722826087</v>
      </c>
    </row>
    <row r="456" spans="1:7" s="354" customFormat="1" ht="19.5" customHeight="1">
      <c r="A456" s="253"/>
      <c r="B456" s="275" t="s">
        <v>1427</v>
      </c>
      <c r="C456" s="275"/>
      <c r="D456" s="276" t="s">
        <v>211</v>
      </c>
      <c r="E456" s="277">
        <f>E457</f>
        <v>80000</v>
      </c>
      <c r="F456" s="277">
        <f>F457</f>
        <v>75000</v>
      </c>
      <c r="G456" s="257">
        <f t="shared" si="15"/>
        <v>93.75</v>
      </c>
    </row>
    <row r="457" spans="1:7" s="297" customFormat="1" ht="54.75" customHeight="1">
      <c r="A457" s="259"/>
      <c r="B457" s="266"/>
      <c r="C457" s="266" t="s">
        <v>344</v>
      </c>
      <c r="D457" s="270" t="s">
        <v>209</v>
      </c>
      <c r="E457" s="268">
        <v>80000</v>
      </c>
      <c r="F457" s="268">
        <v>75000</v>
      </c>
      <c r="G457" s="264">
        <f t="shared" si="15"/>
        <v>93.75</v>
      </c>
    </row>
    <row r="458" spans="1:7" s="354" customFormat="1" ht="19.5" customHeight="1">
      <c r="A458" s="253"/>
      <c r="B458" s="275" t="s">
        <v>1428</v>
      </c>
      <c r="C458" s="275"/>
      <c r="D458" s="255" t="s">
        <v>1429</v>
      </c>
      <c r="E458" s="277">
        <f>SUM(E459,E460,E461,E462,E463,E464)</f>
        <v>280000</v>
      </c>
      <c r="F458" s="277">
        <f>SUM(F459,F460,F461,F462,F463,F464)</f>
        <v>305690.34</v>
      </c>
      <c r="G458" s="257">
        <f t="shared" si="15"/>
        <v>109.17512142857144</v>
      </c>
    </row>
    <row r="459" spans="1:7" s="297" customFormat="1" ht="28.5" customHeight="1" hidden="1">
      <c r="A459" s="259"/>
      <c r="B459" s="266"/>
      <c r="C459" s="266" t="s">
        <v>386</v>
      </c>
      <c r="D459" s="270" t="s">
        <v>1277</v>
      </c>
      <c r="E459" s="268">
        <v>0</v>
      </c>
      <c r="F459" s="268">
        <v>0</v>
      </c>
      <c r="G459" s="264" t="s">
        <v>144</v>
      </c>
    </row>
    <row r="460" spans="1:7" s="297" customFormat="1" ht="27.75" customHeight="1">
      <c r="A460" s="259"/>
      <c r="B460" s="266"/>
      <c r="C460" s="266" t="s">
        <v>383</v>
      </c>
      <c r="D460" s="270" t="s">
        <v>156</v>
      </c>
      <c r="E460" s="268">
        <v>280000</v>
      </c>
      <c r="F460" s="268">
        <v>305690.34</v>
      </c>
      <c r="G460" s="264">
        <f>F460/E460*100</f>
        <v>109.17512142857144</v>
      </c>
    </row>
    <row r="461" spans="1:7" s="297" customFormat="1" ht="18.75" customHeight="1" hidden="1">
      <c r="A461" s="259"/>
      <c r="B461" s="266"/>
      <c r="C461" s="289" t="s">
        <v>384</v>
      </c>
      <c r="D461" s="308" t="s">
        <v>154</v>
      </c>
      <c r="E461" s="268">
        <v>0</v>
      </c>
      <c r="F461" s="268">
        <v>0</v>
      </c>
      <c r="G461" s="294" t="e">
        <f>F461/E461*100</f>
        <v>#DIV/0!</v>
      </c>
    </row>
    <row r="462" spans="1:7" s="297" customFormat="1" ht="28.5" customHeight="1" hidden="1">
      <c r="A462" s="259"/>
      <c r="B462" s="266"/>
      <c r="C462" s="266" t="s">
        <v>385</v>
      </c>
      <c r="D462" s="270" t="s">
        <v>109</v>
      </c>
      <c r="E462" s="268">
        <v>0</v>
      </c>
      <c r="F462" s="268">
        <v>0</v>
      </c>
      <c r="G462" s="294" t="e">
        <f>F462/E462*100</f>
        <v>#DIV/0!</v>
      </c>
    </row>
    <row r="463" spans="1:7" s="297" customFormat="1" ht="60.75" customHeight="1" hidden="1">
      <c r="A463" s="259"/>
      <c r="B463" s="266"/>
      <c r="C463" s="266" t="s">
        <v>344</v>
      </c>
      <c r="D463" s="270" t="s">
        <v>209</v>
      </c>
      <c r="E463" s="268">
        <v>0</v>
      </c>
      <c r="F463" s="268">
        <v>0</v>
      </c>
      <c r="G463" s="294" t="e">
        <f>F463/E463*100</f>
        <v>#DIV/0!</v>
      </c>
    </row>
    <row r="464" spans="1:7" s="297" customFormat="1" ht="67.5" customHeight="1" hidden="1">
      <c r="A464" s="259"/>
      <c r="B464" s="266"/>
      <c r="C464" s="266" t="s">
        <v>990</v>
      </c>
      <c r="D464" s="270" t="s">
        <v>356</v>
      </c>
      <c r="E464" s="268">
        <v>0</v>
      </c>
      <c r="F464" s="268">
        <v>0</v>
      </c>
      <c r="G464" s="294" t="e">
        <f>F464/E464*100</f>
        <v>#DIV/0!</v>
      </c>
    </row>
    <row r="465" spans="1:7" s="354" customFormat="1" ht="19.5" customHeight="1">
      <c r="A465" s="253"/>
      <c r="B465" s="275" t="s">
        <v>1430</v>
      </c>
      <c r="C465" s="275"/>
      <c r="D465" s="276" t="s">
        <v>1434</v>
      </c>
      <c r="E465" s="277">
        <f>SUM(E466,E467)</f>
        <v>376000</v>
      </c>
      <c r="F465" s="277">
        <f>SUM(F466,F467)</f>
        <v>199998</v>
      </c>
      <c r="G465" s="257">
        <f t="shared" si="15"/>
        <v>53.190957446808504</v>
      </c>
    </row>
    <row r="466" spans="1:7" s="297" customFormat="1" ht="60" customHeight="1">
      <c r="A466" s="259"/>
      <c r="B466" s="266"/>
      <c r="C466" s="266" t="s">
        <v>344</v>
      </c>
      <c r="D466" s="270" t="s">
        <v>209</v>
      </c>
      <c r="E466" s="268">
        <v>376000</v>
      </c>
      <c r="F466" s="268">
        <v>199998</v>
      </c>
      <c r="G466" s="264">
        <f aca="true" t="shared" si="16" ref="G466:G473">F466/E466*100</f>
        <v>53.190957446808504</v>
      </c>
    </row>
    <row r="467" spans="1:7" s="297" customFormat="1" ht="54" customHeight="1" hidden="1">
      <c r="A467" s="259"/>
      <c r="B467" s="266"/>
      <c r="C467" s="266" t="s">
        <v>358</v>
      </c>
      <c r="D467" s="270" t="s">
        <v>1266</v>
      </c>
      <c r="E467" s="268">
        <v>0</v>
      </c>
      <c r="F467" s="268">
        <v>0</v>
      </c>
      <c r="G467" s="264" t="e">
        <f>F467/E467*100</f>
        <v>#DIV/0!</v>
      </c>
    </row>
    <row r="468" spans="1:7" s="354" customFormat="1" ht="19.5" customHeight="1" hidden="1">
      <c r="A468" s="253"/>
      <c r="B468" s="275" t="s">
        <v>357</v>
      </c>
      <c r="C468" s="275"/>
      <c r="D468" s="276" t="s">
        <v>1358</v>
      </c>
      <c r="E468" s="277">
        <f>SUM(E469)</f>
        <v>0</v>
      </c>
      <c r="F468" s="277">
        <f>SUM(F469)</f>
        <v>0</v>
      </c>
      <c r="G468" s="257" t="e">
        <f t="shared" si="16"/>
        <v>#DIV/0!</v>
      </c>
    </row>
    <row r="469" spans="1:7" s="297" customFormat="1" ht="54" customHeight="1" hidden="1">
      <c r="A469" s="259"/>
      <c r="B469" s="266"/>
      <c r="C469" s="266" t="s">
        <v>358</v>
      </c>
      <c r="D469" s="270" t="s">
        <v>1266</v>
      </c>
      <c r="E469" s="268">
        <v>0</v>
      </c>
      <c r="F469" s="268">
        <v>0</v>
      </c>
      <c r="G469" s="264" t="e">
        <f t="shared" si="16"/>
        <v>#DIV/0!</v>
      </c>
    </row>
    <row r="470" spans="1:7" s="353" customFormat="1" ht="19.5" customHeight="1">
      <c r="A470" s="247" t="s">
        <v>1437</v>
      </c>
      <c r="B470" s="271"/>
      <c r="C470" s="271"/>
      <c r="D470" s="272" t="s">
        <v>1438</v>
      </c>
      <c r="E470" s="273">
        <f>SUM(E471,E473,E478)</f>
        <v>1038251</v>
      </c>
      <c r="F470" s="273">
        <f>SUM(F471,F473,F478)</f>
        <v>1133406.29</v>
      </c>
      <c r="G470" s="251">
        <f t="shared" si="16"/>
        <v>109.16496011080173</v>
      </c>
    </row>
    <row r="471" spans="1:7" s="354" customFormat="1" ht="19.5" customHeight="1">
      <c r="A471" s="253"/>
      <c r="B471" s="275" t="s">
        <v>1439</v>
      </c>
      <c r="C471" s="275"/>
      <c r="D471" s="276" t="s">
        <v>1445</v>
      </c>
      <c r="E471" s="277">
        <f>SUM(E472)</f>
        <v>82500</v>
      </c>
      <c r="F471" s="277">
        <f>SUM(F472)</f>
        <v>44687</v>
      </c>
      <c r="G471" s="257">
        <f t="shared" si="16"/>
        <v>54.166060606060604</v>
      </c>
    </row>
    <row r="472" spans="1:7" s="297" customFormat="1" ht="59.25" customHeight="1">
      <c r="A472" s="259"/>
      <c r="B472" s="266"/>
      <c r="C472" s="266" t="s">
        <v>344</v>
      </c>
      <c r="D472" s="270" t="s">
        <v>209</v>
      </c>
      <c r="E472" s="268">
        <v>82500</v>
      </c>
      <c r="F472" s="268">
        <v>44687</v>
      </c>
      <c r="G472" s="264">
        <f t="shared" si="16"/>
        <v>54.166060606060604</v>
      </c>
    </row>
    <row r="473" spans="1:7" s="354" customFormat="1" ht="19.5" customHeight="1">
      <c r="A473" s="253"/>
      <c r="B473" s="275" t="s">
        <v>1446</v>
      </c>
      <c r="C473" s="275"/>
      <c r="D473" s="276" t="s">
        <v>1447</v>
      </c>
      <c r="E473" s="277">
        <f>SUM(E474,E475,E476,E477)</f>
        <v>934751</v>
      </c>
      <c r="F473" s="277">
        <f>SUM(F474,F475,F476,F477)</f>
        <v>1067719.29</v>
      </c>
      <c r="G473" s="257">
        <f t="shared" si="16"/>
        <v>114.22499574753063</v>
      </c>
    </row>
    <row r="474" spans="1:7" s="354" customFormat="1" ht="19.5" customHeight="1">
      <c r="A474" s="259"/>
      <c r="B474" s="266"/>
      <c r="C474" s="266" t="s">
        <v>387</v>
      </c>
      <c r="D474" s="270" t="s">
        <v>106</v>
      </c>
      <c r="E474" s="268">
        <v>1400</v>
      </c>
      <c r="F474" s="268">
        <v>875</v>
      </c>
      <c r="G474" s="264">
        <f aca="true" t="shared" si="17" ref="G474:G488">F474/E474*100</f>
        <v>62.5</v>
      </c>
    </row>
    <row r="475" spans="1:7" s="354" customFormat="1" ht="69" customHeight="1">
      <c r="A475" s="259"/>
      <c r="B475" s="266"/>
      <c r="C475" s="266" t="s">
        <v>388</v>
      </c>
      <c r="D475" s="270" t="s">
        <v>464</v>
      </c>
      <c r="E475" s="268">
        <v>29251</v>
      </c>
      <c r="F475" s="268">
        <v>15536.04</v>
      </c>
      <c r="G475" s="264">
        <f t="shared" si="17"/>
        <v>53.11285084270624</v>
      </c>
    </row>
    <row r="476" spans="1:8" s="354" customFormat="1" ht="20.25" customHeight="1">
      <c r="A476" s="259"/>
      <c r="B476" s="266"/>
      <c r="C476" s="266" t="s">
        <v>384</v>
      </c>
      <c r="D476" s="267" t="s">
        <v>154</v>
      </c>
      <c r="E476" s="268">
        <v>0</v>
      </c>
      <c r="F476" s="268">
        <v>59.04</v>
      </c>
      <c r="G476" s="264" t="s">
        <v>144</v>
      </c>
      <c r="H476" s="297"/>
    </row>
    <row r="477" spans="1:7" s="354" customFormat="1" ht="51.75" customHeight="1">
      <c r="A477" s="259"/>
      <c r="B477" s="266"/>
      <c r="C477" s="266" t="s">
        <v>442</v>
      </c>
      <c r="D477" s="270" t="s">
        <v>462</v>
      </c>
      <c r="E477" s="268">
        <v>904100</v>
      </c>
      <c r="F477" s="268">
        <v>1051249.21</v>
      </c>
      <c r="G477" s="264">
        <f t="shared" si="17"/>
        <v>116.27576706116581</v>
      </c>
    </row>
    <row r="478" spans="1:7" s="354" customFormat="1" ht="19.5" customHeight="1">
      <c r="A478" s="253"/>
      <c r="B478" s="275" t="s">
        <v>1449</v>
      </c>
      <c r="C478" s="357"/>
      <c r="D478" s="276" t="s">
        <v>708</v>
      </c>
      <c r="E478" s="277">
        <f>E479+E480</f>
        <v>21000</v>
      </c>
      <c r="F478" s="277">
        <f>F479+F480</f>
        <v>21000</v>
      </c>
      <c r="G478" s="257">
        <f t="shared" si="17"/>
        <v>100</v>
      </c>
    </row>
    <row r="479" spans="1:7" s="297" customFormat="1" ht="56.25" customHeight="1">
      <c r="A479" s="259"/>
      <c r="B479" s="266"/>
      <c r="C479" s="358">
        <v>2110</v>
      </c>
      <c r="D479" s="270" t="s">
        <v>209</v>
      </c>
      <c r="E479" s="268">
        <v>19000</v>
      </c>
      <c r="F479" s="268">
        <v>19000</v>
      </c>
      <c r="G479" s="264">
        <f t="shared" si="17"/>
        <v>100</v>
      </c>
    </row>
    <row r="480" spans="1:7" s="297" customFormat="1" ht="53.25" customHeight="1">
      <c r="A480" s="259"/>
      <c r="B480" s="266"/>
      <c r="C480" s="358">
        <v>2120</v>
      </c>
      <c r="D480" s="270" t="s">
        <v>115</v>
      </c>
      <c r="E480" s="268">
        <v>2000</v>
      </c>
      <c r="F480" s="268">
        <v>2000</v>
      </c>
      <c r="G480" s="264">
        <f t="shared" si="17"/>
        <v>100</v>
      </c>
    </row>
    <row r="481" spans="1:7" s="354" customFormat="1" ht="29.25" customHeight="1">
      <c r="A481" s="247" t="s">
        <v>1452</v>
      </c>
      <c r="B481" s="271"/>
      <c r="C481" s="357"/>
      <c r="D481" s="282" t="s">
        <v>48</v>
      </c>
      <c r="E481" s="273">
        <f>SUM(E482,E485)</f>
        <v>4158113</v>
      </c>
      <c r="F481" s="273">
        <f>SUM(F482,F485)</f>
        <v>2486552</v>
      </c>
      <c r="G481" s="251">
        <f t="shared" si="17"/>
        <v>59.80001024503182</v>
      </c>
    </row>
    <row r="482" spans="1:7" s="354" customFormat="1" ht="19.5" customHeight="1">
      <c r="A482" s="253"/>
      <c r="B482" s="275" t="s">
        <v>1453</v>
      </c>
      <c r="C482" s="357"/>
      <c r="D482" s="255" t="s">
        <v>221</v>
      </c>
      <c r="E482" s="277">
        <f>SUM(E483,E484)</f>
        <v>4158113</v>
      </c>
      <c r="F482" s="277">
        <f>SUM(F483,F484)</f>
        <v>2486552</v>
      </c>
      <c r="G482" s="257">
        <f t="shared" si="17"/>
        <v>59.80001024503182</v>
      </c>
    </row>
    <row r="483" spans="1:7" s="297" customFormat="1" ht="53.25" customHeight="1">
      <c r="A483" s="259"/>
      <c r="B483" s="260"/>
      <c r="C483" s="359">
        <v>2110</v>
      </c>
      <c r="D483" s="270" t="s">
        <v>209</v>
      </c>
      <c r="E483" s="293">
        <v>4158113</v>
      </c>
      <c r="F483" s="293">
        <v>2486552</v>
      </c>
      <c r="G483" s="264">
        <f t="shared" si="17"/>
        <v>59.80001024503182</v>
      </c>
    </row>
    <row r="484" spans="1:7" s="297" customFormat="1" ht="54.75" customHeight="1" hidden="1">
      <c r="A484" s="259"/>
      <c r="B484" s="260"/>
      <c r="C484" s="359">
        <v>6410</v>
      </c>
      <c r="D484" s="270" t="s">
        <v>1266</v>
      </c>
      <c r="E484" s="293">
        <v>0</v>
      </c>
      <c r="F484" s="293">
        <v>0</v>
      </c>
      <c r="G484" s="264" t="e">
        <f t="shared" si="17"/>
        <v>#DIV/0!</v>
      </c>
    </row>
    <row r="485" spans="1:7" s="354" customFormat="1" ht="22.5" customHeight="1" hidden="1">
      <c r="A485" s="253"/>
      <c r="B485" s="254" t="s">
        <v>687</v>
      </c>
      <c r="C485" s="1405"/>
      <c r="D485" s="255" t="s">
        <v>688</v>
      </c>
      <c r="E485" s="364">
        <f>SUM(E486)</f>
        <v>0</v>
      </c>
      <c r="F485" s="364">
        <f>SUM(F486)</f>
        <v>0</v>
      </c>
      <c r="G485" s="257" t="e">
        <f t="shared" si="17"/>
        <v>#DIV/0!</v>
      </c>
    </row>
    <row r="486" spans="1:7" s="297" customFormat="1" ht="56.25" customHeight="1" hidden="1">
      <c r="A486" s="259"/>
      <c r="B486" s="260"/>
      <c r="C486" s="359">
        <v>2110</v>
      </c>
      <c r="D486" s="270" t="s">
        <v>209</v>
      </c>
      <c r="E486" s="293">
        <v>0</v>
      </c>
      <c r="F486" s="293">
        <v>0</v>
      </c>
      <c r="G486" s="264" t="e">
        <f>F486/E486*100</f>
        <v>#DIV/0!</v>
      </c>
    </row>
    <row r="487" spans="1:7" s="353" customFormat="1" ht="69" customHeight="1">
      <c r="A487" s="360" t="s">
        <v>201</v>
      </c>
      <c r="B487" s="271"/>
      <c r="C487" s="271"/>
      <c r="D487" s="282" t="s">
        <v>639</v>
      </c>
      <c r="E487" s="273">
        <f>SUM(E488,E493)</f>
        <v>9068370</v>
      </c>
      <c r="F487" s="273">
        <f>SUM(F488,F493)</f>
        <v>3918839.5300000003</v>
      </c>
      <c r="G487" s="251">
        <f t="shared" si="17"/>
        <v>43.21437623299447</v>
      </c>
    </row>
    <row r="488" spans="1:7" s="354" customFormat="1" ht="41.25" customHeight="1">
      <c r="A488" s="253"/>
      <c r="B488" s="275" t="s">
        <v>127</v>
      </c>
      <c r="C488" s="275"/>
      <c r="D488" s="255" t="s">
        <v>226</v>
      </c>
      <c r="E488" s="277">
        <f>SUM(E489,E490,E491,E492)</f>
        <v>1194120</v>
      </c>
      <c r="F488" s="277">
        <f>SUM(F489,F490,F491,F492)</f>
        <v>652239.6</v>
      </c>
      <c r="G488" s="257">
        <f t="shared" si="17"/>
        <v>54.62094261883228</v>
      </c>
    </row>
    <row r="489" spans="1:7" s="297" customFormat="1" ht="19.5" customHeight="1">
      <c r="A489" s="259"/>
      <c r="B489" s="266"/>
      <c r="C489" s="266" t="s">
        <v>429</v>
      </c>
      <c r="D489" s="267" t="s">
        <v>114</v>
      </c>
      <c r="E489" s="268">
        <v>687120</v>
      </c>
      <c r="F489" s="268">
        <v>333657.1</v>
      </c>
      <c r="G489" s="264">
        <f>F489/E489*100</f>
        <v>48.55878158109209</v>
      </c>
    </row>
    <row r="490" spans="1:7" s="297" customFormat="1" ht="40.5" customHeight="1">
      <c r="A490" s="259"/>
      <c r="B490" s="266"/>
      <c r="C490" s="266" t="s">
        <v>393</v>
      </c>
      <c r="D490" s="270" t="s">
        <v>252</v>
      </c>
      <c r="E490" s="268">
        <v>507000</v>
      </c>
      <c r="F490" s="268">
        <v>317560.16</v>
      </c>
      <c r="G490" s="264">
        <f>F490/E490*100</f>
        <v>62.63514003944772</v>
      </c>
    </row>
    <row r="491" spans="1:7" s="297" customFormat="1" ht="19.5" customHeight="1" hidden="1">
      <c r="A491" s="259"/>
      <c r="B491" s="266"/>
      <c r="C491" s="266" t="s">
        <v>387</v>
      </c>
      <c r="D491" s="270" t="s">
        <v>106</v>
      </c>
      <c r="E491" s="268">
        <v>0</v>
      </c>
      <c r="F491" s="268">
        <v>0</v>
      </c>
      <c r="G491" s="264" t="e">
        <f>F491/E491*100</f>
        <v>#DIV/0!</v>
      </c>
    </row>
    <row r="492" spans="1:7" s="297" customFormat="1" ht="19.5" customHeight="1">
      <c r="A492" s="259"/>
      <c r="B492" s="266"/>
      <c r="C492" s="266" t="s">
        <v>384</v>
      </c>
      <c r="D492" s="270" t="s">
        <v>154</v>
      </c>
      <c r="E492" s="268">
        <v>0</v>
      </c>
      <c r="F492" s="268">
        <v>1022.34</v>
      </c>
      <c r="G492" s="264" t="s">
        <v>144</v>
      </c>
    </row>
    <row r="493" spans="1:7" s="354" customFormat="1" ht="30.75" customHeight="1">
      <c r="A493" s="253"/>
      <c r="B493" s="275" t="s">
        <v>146</v>
      </c>
      <c r="C493" s="275"/>
      <c r="D493" s="255" t="s">
        <v>342</v>
      </c>
      <c r="E493" s="277">
        <f>+E494+E495</f>
        <v>7874250</v>
      </c>
      <c r="F493" s="277">
        <f>F494+F495</f>
        <v>3266599.93</v>
      </c>
      <c r="G493" s="257">
        <f aca="true" t="shared" si="18" ref="G493:G510">F493/E493*100</f>
        <v>41.4845849445979</v>
      </c>
    </row>
    <row r="494" spans="1:7" s="297" customFormat="1" ht="19.5" customHeight="1">
      <c r="A494" s="259"/>
      <c r="B494" s="266"/>
      <c r="C494" s="266" t="s">
        <v>433</v>
      </c>
      <c r="D494" s="270" t="s">
        <v>141</v>
      </c>
      <c r="E494" s="268">
        <v>7589250</v>
      </c>
      <c r="F494" s="268">
        <v>3166479</v>
      </c>
      <c r="G494" s="264">
        <f t="shared" si="18"/>
        <v>41.723213756300034</v>
      </c>
    </row>
    <row r="495" spans="1:7" s="297" customFormat="1" ht="19.5" customHeight="1">
      <c r="A495" s="259"/>
      <c r="B495" s="266"/>
      <c r="C495" s="266" t="s">
        <v>434</v>
      </c>
      <c r="D495" s="267" t="s">
        <v>145</v>
      </c>
      <c r="E495" s="268">
        <v>285000</v>
      </c>
      <c r="F495" s="268">
        <v>100120.93</v>
      </c>
      <c r="G495" s="264">
        <f t="shared" si="18"/>
        <v>35.130150877192975</v>
      </c>
    </row>
    <row r="496" spans="1:7" s="353" customFormat="1" ht="19.5" customHeight="1">
      <c r="A496" s="247" t="s">
        <v>1457</v>
      </c>
      <c r="B496" s="271"/>
      <c r="C496" s="271"/>
      <c r="D496" s="272" t="s">
        <v>1458</v>
      </c>
      <c r="E496" s="273">
        <f>SUM(E504,E497,E499,E502,E506)</f>
        <v>44050290</v>
      </c>
      <c r="F496" s="273">
        <f>SUM(F504,F497,F499,F502,F506)</f>
        <v>18629912</v>
      </c>
      <c r="G496" s="251">
        <f t="shared" si="18"/>
        <v>42.29237083342698</v>
      </c>
    </row>
    <row r="497" spans="1:7" s="354" customFormat="1" ht="27.75" customHeight="1">
      <c r="A497" s="253"/>
      <c r="B497" s="275" t="s">
        <v>147</v>
      </c>
      <c r="C497" s="275"/>
      <c r="D497" s="255" t="s">
        <v>149</v>
      </c>
      <c r="E497" s="277">
        <f>E498</f>
        <v>18241343</v>
      </c>
      <c r="F497" s="277">
        <f>F498</f>
        <v>11225440</v>
      </c>
      <c r="G497" s="257">
        <f t="shared" si="18"/>
        <v>61.53845141774923</v>
      </c>
    </row>
    <row r="498" spans="1:7" s="353" customFormat="1" ht="19.5" customHeight="1">
      <c r="A498" s="247"/>
      <c r="B498" s="271"/>
      <c r="C498" s="266" t="s">
        <v>435</v>
      </c>
      <c r="D498" s="270" t="s">
        <v>222</v>
      </c>
      <c r="E498" s="268">
        <v>18241343</v>
      </c>
      <c r="F498" s="268">
        <v>11225440</v>
      </c>
      <c r="G498" s="264">
        <f t="shared" si="18"/>
        <v>61.53845141774923</v>
      </c>
    </row>
    <row r="499" spans="1:7" s="354" customFormat="1" ht="30" customHeight="1">
      <c r="A499" s="253"/>
      <c r="B499" s="275" t="s">
        <v>151</v>
      </c>
      <c r="C499" s="275"/>
      <c r="D499" s="255" t="s">
        <v>646</v>
      </c>
      <c r="E499" s="277">
        <f>SUM(E501,E500)</f>
        <v>22000000</v>
      </c>
      <c r="F499" s="277">
        <f>SUM(F501,F500)</f>
        <v>5500000</v>
      </c>
      <c r="G499" s="257">
        <f t="shared" si="18"/>
        <v>25</v>
      </c>
    </row>
    <row r="500" spans="1:7" s="297" customFormat="1" ht="51" customHeight="1">
      <c r="A500" s="259"/>
      <c r="B500" s="266"/>
      <c r="C500" s="266" t="s">
        <v>443</v>
      </c>
      <c r="D500" s="270" t="s">
        <v>321</v>
      </c>
      <c r="E500" s="268">
        <v>22000000</v>
      </c>
      <c r="F500" s="268">
        <v>5500000</v>
      </c>
      <c r="G500" s="264">
        <f t="shared" si="18"/>
        <v>25</v>
      </c>
    </row>
    <row r="501" spans="1:7" s="297" customFormat="1" ht="53.25" customHeight="1" hidden="1">
      <c r="A501" s="259"/>
      <c r="B501" s="266"/>
      <c r="C501" s="266" t="s">
        <v>603</v>
      </c>
      <c r="D501" s="270" t="s">
        <v>578</v>
      </c>
      <c r="E501" s="268">
        <v>0</v>
      </c>
      <c r="F501" s="268"/>
      <c r="G501" s="264" t="e">
        <f t="shared" si="18"/>
        <v>#DIV/0!</v>
      </c>
    </row>
    <row r="502" spans="1:7" s="354" customFormat="1" ht="26.25" customHeight="1" hidden="1">
      <c r="A502" s="253"/>
      <c r="B502" s="275" t="s">
        <v>604</v>
      </c>
      <c r="C502" s="275"/>
      <c r="D502" s="255" t="s">
        <v>605</v>
      </c>
      <c r="E502" s="277">
        <f>SUM(E503)</f>
        <v>0</v>
      </c>
      <c r="F502" s="277">
        <f>SUM(F503)</f>
        <v>0</v>
      </c>
      <c r="G502" s="257" t="e">
        <f t="shared" si="18"/>
        <v>#DIV/0!</v>
      </c>
    </row>
    <row r="503" spans="1:7" s="297" customFormat="1" ht="19.5" customHeight="1" hidden="1">
      <c r="A503" s="259"/>
      <c r="B503" s="266"/>
      <c r="C503" s="266" t="s">
        <v>435</v>
      </c>
      <c r="D503" s="270" t="s">
        <v>222</v>
      </c>
      <c r="E503" s="268">
        <v>0</v>
      </c>
      <c r="F503" s="268">
        <v>0</v>
      </c>
      <c r="G503" s="264" t="e">
        <f t="shared" si="18"/>
        <v>#DIV/0!</v>
      </c>
    </row>
    <row r="504" spans="1:7" s="354" customFormat="1" ht="21.75" customHeight="1" hidden="1">
      <c r="A504" s="253"/>
      <c r="B504" s="275" t="s">
        <v>152</v>
      </c>
      <c r="C504" s="344"/>
      <c r="D504" s="255" t="s">
        <v>153</v>
      </c>
      <c r="E504" s="277">
        <f>E505</f>
        <v>0</v>
      </c>
      <c r="F504" s="277">
        <f>F505</f>
        <v>0</v>
      </c>
      <c r="G504" s="257" t="e">
        <f t="shared" si="18"/>
        <v>#DIV/0!</v>
      </c>
    </row>
    <row r="505" spans="1:7" s="297" customFormat="1" ht="39" customHeight="1" hidden="1">
      <c r="A505" s="259"/>
      <c r="B505" s="266"/>
      <c r="C505" s="345" t="s">
        <v>1369</v>
      </c>
      <c r="D505" s="296" t="s">
        <v>689</v>
      </c>
      <c r="E505" s="268">
        <v>0</v>
      </c>
      <c r="F505" s="268">
        <v>0</v>
      </c>
      <c r="G505" s="264" t="e">
        <f t="shared" si="18"/>
        <v>#DIV/0!</v>
      </c>
    </row>
    <row r="506" spans="1:7" s="354" customFormat="1" ht="25.5" customHeight="1">
      <c r="A506" s="253"/>
      <c r="B506" s="275" t="s">
        <v>444</v>
      </c>
      <c r="C506" s="344"/>
      <c r="D506" s="255" t="s">
        <v>460</v>
      </c>
      <c r="E506" s="277">
        <f>E507</f>
        <v>3808947</v>
      </c>
      <c r="F506" s="277">
        <f>F507</f>
        <v>1904472</v>
      </c>
      <c r="G506" s="257">
        <f t="shared" si="18"/>
        <v>49.99996061903723</v>
      </c>
    </row>
    <row r="507" spans="1:7" s="297" customFormat="1" ht="21" customHeight="1">
      <c r="A507" s="259"/>
      <c r="B507" s="266"/>
      <c r="C507" s="345" t="s">
        <v>435</v>
      </c>
      <c r="D507" s="296" t="s">
        <v>150</v>
      </c>
      <c r="E507" s="268">
        <v>3808947</v>
      </c>
      <c r="F507" s="268">
        <v>1904472</v>
      </c>
      <c r="G507" s="264">
        <f t="shared" si="18"/>
        <v>49.99996061903723</v>
      </c>
    </row>
    <row r="508" spans="1:7" s="354" customFormat="1" ht="19.5" customHeight="1">
      <c r="A508" s="247" t="s">
        <v>1459</v>
      </c>
      <c r="B508" s="271"/>
      <c r="C508" s="357"/>
      <c r="D508" s="272" t="s">
        <v>1460</v>
      </c>
      <c r="E508" s="273">
        <f>SUM(E509,E512,E519)</f>
        <v>1000000</v>
      </c>
      <c r="F508" s="273">
        <f>SUM(F509,F512,F519)</f>
        <v>2200</v>
      </c>
      <c r="G508" s="264">
        <f t="shared" si="18"/>
        <v>0.22</v>
      </c>
    </row>
    <row r="509" spans="1:7" s="354" customFormat="1" ht="19.5" customHeight="1">
      <c r="A509" s="247"/>
      <c r="B509" s="275" t="s">
        <v>1465</v>
      </c>
      <c r="C509" s="357"/>
      <c r="D509" s="276" t="s">
        <v>326</v>
      </c>
      <c r="E509" s="277">
        <f>SUM(E510,E515)</f>
        <v>1000000</v>
      </c>
      <c r="F509" s="277">
        <f>SUM(F510,F515)</f>
        <v>0</v>
      </c>
      <c r="G509" s="264">
        <f t="shared" si="18"/>
        <v>0</v>
      </c>
    </row>
    <row r="510" spans="1:7" s="354" customFormat="1" ht="56.25" customHeight="1">
      <c r="A510" s="247"/>
      <c r="B510" s="275"/>
      <c r="C510" s="289" t="s">
        <v>1257</v>
      </c>
      <c r="D510" s="270" t="s">
        <v>497</v>
      </c>
      <c r="E510" s="268">
        <v>1000000</v>
      </c>
      <c r="F510" s="268">
        <v>0</v>
      </c>
      <c r="G510" s="264">
        <f t="shared" si="18"/>
        <v>0</v>
      </c>
    </row>
    <row r="511" spans="1:7" s="354" customFormat="1" ht="85.5" customHeight="1">
      <c r="A511" s="247"/>
      <c r="B511" s="275"/>
      <c r="C511" s="289"/>
      <c r="D511" s="262" t="s">
        <v>498</v>
      </c>
      <c r="E511" s="268"/>
      <c r="F511" s="268"/>
      <c r="G511" s="264"/>
    </row>
    <row r="512" spans="1:7" s="354" customFormat="1" ht="19.5" customHeight="1">
      <c r="A512" s="253"/>
      <c r="B512" s="275" t="s">
        <v>1466</v>
      </c>
      <c r="C512" s="357"/>
      <c r="D512" s="276" t="s">
        <v>1467</v>
      </c>
      <c r="E512" s="277">
        <f>SUM(E513,E514,E515,E517)</f>
        <v>0</v>
      </c>
      <c r="F512" s="277">
        <f>SUM(F513,F514,F515,F517)</f>
        <v>2200</v>
      </c>
      <c r="G512" s="257" t="s">
        <v>144</v>
      </c>
    </row>
    <row r="513" spans="1:7" s="354" customFormat="1" ht="19.5" customHeight="1" hidden="1">
      <c r="A513" s="253"/>
      <c r="B513" s="275"/>
      <c r="C513" s="289" t="s">
        <v>387</v>
      </c>
      <c r="D513" s="262" t="s">
        <v>106</v>
      </c>
      <c r="E513" s="268">
        <v>0</v>
      </c>
      <c r="F513" s="268">
        <v>0</v>
      </c>
      <c r="G513" s="264" t="s">
        <v>144</v>
      </c>
    </row>
    <row r="514" spans="1:7" s="354" customFormat="1" ht="19.5" customHeight="1">
      <c r="A514" s="253"/>
      <c r="B514" s="275"/>
      <c r="C514" s="289" t="s">
        <v>385</v>
      </c>
      <c r="D514" s="270" t="s">
        <v>109</v>
      </c>
      <c r="E514" s="268">
        <v>0</v>
      </c>
      <c r="F514" s="268">
        <v>2200</v>
      </c>
      <c r="G514" s="294" t="s">
        <v>144</v>
      </c>
    </row>
    <row r="515" spans="1:7" s="297" customFormat="1" ht="64.5" customHeight="1" hidden="1">
      <c r="A515" s="259"/>
      <c r="B515" s="266"/>
      <c r="C515" s="1406">
        <v>2008</v>
      </c>
      <c r="D515" s="262" t="s">
        <v>1056</v>
      </c>
      <c r="E515" s="268">
        <v>0</v>
      </c>
      <c r="F515" s="268">
        <v>0</v>
      </c>
      <c r="G515" s="264" t="e">
        <f aca="true" t="shared" si="19" ref="G515:G521">F515/E515*100</f>
        <v>#DIV/0!</v>
      </c>
    </row>
    <row r="516" spans="1:7" s="297" customFormat="1" ht="66.75" customHeight="1" hidden="1">
      <c r="A516" s="259"/>
      <c r="B516" s="266"/>
      <c r="C516" s="1406"/>
      <c r="D516" s="262" t="s">
        <v>498</v>
      </c>
      <c r="E516" s="268"/>
      <c r="F516" s="268"/>
      <c r="G516" s="264"/>
    </row>
    <row r="517" spans="1:7" s="297" customFormat="1" ht="30.75" customHeight="1" hidden="1">
      <c r="A517" s="259"/>
      <c r="B517" s="266"/>
      <c r="C517" s="1406">
        <v>2009</v>
      </c>
      <c r="D517" s="270"/>
      <c r="E517" s="268"/>
      <c r="F517" s="268"/>
      <c r="G517" s="264" t="e">
        <f t="shared" si="19"/>
        <v>#DIV/0!</v>
      </c>
    </row>
    <row r="518" spans="1:7" s="297" customFormat="1" ht="30.75" customHeight="1" hidden="1">
      <c r="A518" s="259"/>
      <c r="B518" s="266"/>
      <c r="C518" s="1406"/>
      <c r="D518" s="270"/>
      <c r="E518" s="268"/>
      <c r="F518" s="268"/>
      <c r="G518" s="264"/>
    </row>
    <row r="519" spans="1:7" s="354" customFormat="1" ht="21" customHeight="1" hidden="1">
      <c r="A519" s="253"/>
      <c r="B519" s="344" t="s">
        <v>724</v>
      </c>
      <c r="C519" s="357"/>
      <c r="D519" s="255" t="s">
        <v>1358</v>
      </c>
      <c r="E519" s="277">
        <f>SUM(E520,E521)</f>
        <v>0</v>
      </c>
      <c r="F519" s="277">
        <f>SUM(F520,F521)</f>
        <v>0</v>
      </c>
      <c r="G519" s="257" t="e">
        <f t="shared" si="19"/>
        <v>#DIV/0!</v>
      </c>
    </row>
    <row r="520" spans="1:7" s="297" customFormat="1" ht="31.5" customHeight="1" hidden="1">
      <c r="A520" s="259"/>
      <c r="B520" s="266"/>
      <c r="C520" s="358">
        <v>2130</v>
      </c>
      <c r="D520" s="270" t="s">
        <v>1267</v>
      </c>
      <c r="E520" s="268">
        <v>0</v>
      </c>
      <c r="F520" s="268">
        <v>0</v>
      </c>
      <c r="G520" s="264" t="e">
        <f t="shared" si="19"/>
        <v>#DIV/0!</v>
      </c>
    </row>
    <row r="521" spans="1:7" s="297" customFormat="1" ht="45" customHeight="1" hidden="1">
      <c r="A521" s="259"/>
      <c r="B521" s="266"/>
      <c r="C521" s="345" t="s">
        <v>77</v>
      </c>
      <c r="D521" s="296" t="s">
        <v>85</v>
      </c>
      <c r="E521" s="268">
        <v>0</v>
      </c>
      <c r="F521" s="268">
        <v>0</v>
      </c>
      <c r="G521" s="264" t="e">
        <f t="shared" si="19"/>
        <v>#DIV/0!</v>
      </c>
    </row>
    <row r="522" spans="1:7" s="354" customFormat="1" ht="19.5" customHeight="1">
      <c r="A522" s="247" t="s">
        <v>1468</v>
      </c>
      <c r="B522" s="271"/>
      <c r="C522" s="357"/>
      <c r="D522" s="272" t="s">
        <v>1469</v>
      </c>
      <c r="E522" s="273">
        <f>SUM(E523,E526)</f>
        <v>876000</v>
      </c>
      <c r="F522" s="273">
        <f>SUM(F523,F526)</f>
        <v>483731.41</v>
      </c>
      <c r="G522" s="251">
        <f>F522/E522*100</f>
        <v>55.2204805936073</v>
      </c>
    </row>
    <row r="523" spans="1:7" ht="18" customHeight="1">
      <c r="A523" s="298"/>
      <c r="B523" s="309" t="s">
        <v>725</v>
      </c>
      <c r="C523" s="309"/>
      <c r="D523" s="333" t="s">
        <v>726</v>
      </c>
      <c r="E523" s="311">
        <f>SUM(E524,E525)</f>
        <v>0</v>
      </c>
      <c r="F523" s="311">
        <f>SUM(F524,F525)</f>
        <v>1131.41</v>
      </c>
      <c r="G523" s="257" t="s">
        <v>144</v>
      </c>
    </row>
    <row r="524" spans="1:7" ht="67.5" customHeight="1">
      <c r="A524" s="298"/>
      <c r="B524" s="309"/>
      <c r="C524" s="309" t="s">
        <v>416</v>
      </c>
      <c r="D524" s="331" t="s">
        <v>417</v>
      </c>
      <c r="E524" s="291">
        <v>0</v>
      </c>
      <c r="F524" s="291">
        <v>10</v>
      </c>
      <c r="G524" s="264" t="s">
        <v>144</v>
      </c>
    </row>
    <row r="525" spans="1:7" ht="65.25" customHeight="1">
      <c r="A525" s="288"/>
      <c r="B525" s="325"/>
      <c r="C525" s="325" t="s">
        <v>268</v>
      </c>
      <c r="D525" s="270" t="s">
        <v>512</v>
      </c>
      <c r="E525" s="332">
        <v>0</v>
      </c>
      <c r="F525" s="332">
        <v>1121.41</v>
      </c>
      <c r="G525" s="264" t="s">
        <v>144</v>
      </c>
    </row>
    <row r="526" spans="1:7" s="354" customFormat="1" ht="43.5" customHeight="1">
      <c r="A526" s="253"/>
      <c r="B526" s="344" t="s">
        <v>155</v>
      </c>
      <c r="C526" s="357"/>
      <c r="D526" s="255" t="s">
        <v>647</v>
      </c>
      <c r="E526" s="277">
        <f>SUM(E527,E528)</f>
        <v>876000</v>
      </c>
      <c r="F526" s="277">
        <f>SUM(F527,F528)</f>
        <v>482600</v>
      </c>
      <c r="G526" s="257">
        <f aca="true" t="shared" si="20" ref="G526:G591">F526/E526*100</f>
        <v>55.09132420091324</v>
      </c>
    </row>
    <row r="527" spans="1:7" s="297" customFormat="1" ht="52.5" customHeight="1">
      <c r="A527" s="259"/>
      <c r="B527" s="266"/>
      <c r="C527" s="358">
        <v>2110</v>
      </c>
      <c r="D527" s="270" t="s">
        <v>209</v>
      </c>
      <c r="E527" s="268">
        <v>876000</v>
      </c>
      <c r="F527" s="268">
        <v>482600</v>
      </c>
      <c r="G527" s="264">
        <f t="shared" si="20"/>
        <v>55.09132420091324</v>
      </c>
    </row>
    <row r="528" spans="1:7" s="297" customFormat="1" ht="41.25" customHeight="1" hidden="1">
      <c r="A528" s="259"/>
      <c r="B528" s="266"/>
      <c r="C528" s="358">
        <v>2910</v>
      </c>
      <c r="D528" s="270" t="s">
        <v>273</v>
      </c>
      <c r="E528" s="268"/>
      <c r="F528" s="268"/>
      <c r="G528" s="264" t="s">
        <v>144</v>
      </c>
    </row>
    <row r="529" spans="1:7" s="353" customFormat="1" ht="21.75" customHeight="1">
      <c r="A529" s="247" t="s">
        <v>445</v>
      </c>
      <c r="B529" s="271"/>
      <c r="C529" s="361"/>
      <c r="D529" s="282" t="s">
        <v>456</v>
      </c>
      <c r="E529" s="273">
        <f>SUM(E530,E533,E535,E542,E545,E547,E550,E552)</f>
        <v>460501.99</v>
      </c>
      <c r="F529" s="273">
        <f>SUM(F530,F533,F535,F542,F545,F547,F550,F552)</f>
        <v>230732.51</v>
      </c>
      <c r="G529" s="251">
        <f t="shared" si="20"/>
        <v>50.10456306605755</v>
      </c>
    </row>
    <row r="530" spans="1:7" s="354" customFormat="1" ht="21.75" customHeight="1">
      <c r="A530" s="253"/>
      <c r="B530" s="275" t="s">
        <v>446</v>
      </c>
      <c r="C530" s="362"/>
      <c r="D530" s="363" t="s">
        <v>1288</v>
      </c>
      <c r="E530" s="277">
        <f>SUM(E531,E532)</f>
        <v>0</v>
      </c>
      <c r="F530" s="277">
        <f>SUM(F531,F532)</f>
        <v>3662</v>
      </c>
      <c r="G530" s="264" t="s">
        <v>144</v>
      </c>
    </row>
    <row r="531" spans="1:7" s="297" customFormat="1" ht="21.75" customHeight="1">
      <c r="A531" s="259"/>
      <c r="B531" s="266"/>
      <c r="C531" s="345" t="s">
        <v>385</v>
      </c>
      <c r="D531" s="296" t="s">
        <v>109</v>
      </c>
      <c r="E531" s="268">
        <v>0</v>
      </c>
      <c r="F531" s="268">
        <v>3662</v>
      </c>
      <c r="G531" s="264" t="s">
        <v>144</v>
      </c>
    </row>
    <row r="532" spans="1:7" s="297" customFormat="1" ht="67.5" customHeight="1" hidden="1">
      <c r="A532" s="259"/>
      <c r="B532" s="266"/>
      <c r="C532" s="325" t="s">
        <v>268</v>
      </c>
      <c r="D532" s="270" t="s">
        <v>512</v>
      </c>
      <c r="E532" s="268">
        <v>0</v>
      </c>
      <c r="F532" s="268">
        <v>0</v>
      </c>
      <c r="G532" s="264" t="s">
        <v>144</v>
      </c>
    </row>
    <row r="533" spans="1:7" s="354" customFormat="1" ht="21.75" customHeight="1" hidden="1">
      <c r="A533" s="253"/>
      <c r="B533" s="275" t="s">
        <v>457</v>
      </c>
      <c r="C533" s="362"/>
      <c r="D533" s="363" t="s">
        <v>223</v>
      </c>
      <c r="E533" s="277">
        <f>SUM(E534)</f>
        <v>0</v>
      </c>
      <c r="F533" s="277">
        <f>SUM(F534)</f>
        <v>0</v>
      </c>
      <c r="G533" s="257" t="e">
        <f t="shared" si="20"/>
        <v>#DIV/0!</v>
      </c>
    </row>
    <row r="534" spans="1:7" s="297" customFormat="1" ht="54" customHeight="1" hidden="1">
      <c r="A534" s="259"/>
      <c r="B534" s="266"/>
      <c r="C534" s="358">
        <v>2110</v>
      </c>
      <c r="D534" s="270" t="s">
        <v>209</v>
      </c>
      <c r="E534" s="293">
        <v>0</v>
      </c>
      <c r="F534" s="268">
        <v>0</v>
      </c>
      <c r="G534" s="264" t="e">
        <f t="shared" si="20"/>
        <v>#DIV/0!</v>
      </c>
    </row>
    <row r="535" spans="1:7" s="354" customFormat="1" ht="20.25" customHeight="1">
      <c r="A535" s="253"/>
      <c r="B535" s="275" t="s">
        <v>742</v>
      </c>
      <c r="C535" s="362"/>
      <c r="D535" s="255" t="s">
        <v>743</v>
      </c>
      <c r="E535" s="364">
        <f>SUM(E536,E537,E538,E539,E540,E541)</f>
        <v>142501.99</v>
      </c>
      <c r="F535" s="364">
        <f>SUM(F536,F537,F538,F539,F540,F541)</f>
        <v>51606.61</v>
      </c>
      <c r="G535" s="257">
        <f t="shared" si="20"/>
        <v>36.214659177742014</v>
      </c>
    </row>
    <row r="536" spans="1:7" s="297" customFormat="1" ht="20.25" customHeight="1" hidden="1">
      <c r="A536" s="259"/>
      <c r="B536" s="266"/>
      <c r="C536" s="345" t="s">
        <v>387</v>
      </c>
      <c r="D536" s="262" t="s">
        <v>106</v>
      </c>
      <c r="E536" s="293">
        <v>0</v>
      </c>
      <c r="F536" s="293">
        <v>0</v>
      </c>
      <c r="G536" s="257" t="e">
        <f t="shared" si="20"/>
        <v>#DIV/0!</v>
      </c>
    </row>
    <row r="537" spans="1:7" s="297" customFormat="1" ht="20.25" customHeight="1">
      <c r="A537" s="259"/>
      <c r="B537" s="266"/>
      <c r="C537" s="345" t="s">
        <v>385</v>
      </c>
      <c r="D537" s="270" t="s">
        <v>109</v>
      </c>
      <c r="E537" s="293">
        <v>0</v>
      </c>
      <c r="F537" s="268">
        <v>1173.91</v>
      </c>
      <c r="G537" s="257" t="s">
        <v>144</v>
      </c>
    </row>
    <row r="538" spans="1:7" s="297" customFormat="1" ht="30.75" customHeight="1">
      <c r="A538" s="259"/>
      <c r="B538" s="266"/>
      <c r="C538" s="345" t="s">
        <v>437</v>
      </c>
      <c r="D538" s="270" t="s">
        <v>1267</v>
      </c>
      <c r="E538" s="293">
        <v>22331.99</v>
      </c>
      <c r="F538" s="268">
        <v>0</v>
      </c>
      <c r="G538" s="257">
        <f>F538/E538*100</f>
        <v>0</v>
      </c>
    </row>
    <row r="539" spans="1:7" s="297" customFormat="1" ht="54.75" customHeight="1" hidden="1">
      <c r="A539" s="259"/>
      <c r="B539" s="266"/>
      <c r="C539" s="266" t="s">
        <v>373</v>
      </c>
      <c r="D539" s="270" t="s">
        <v>374</v>
      </c>
      <c r="E539" s="293">
        <v>0</v>
      </c>
      <c r="F539" s="268">
        <v>0</v>
      </c>
      <c r="G539" s="257" t="e">
        <f t="shared" si="20"/>
        <v>#DIV/0!</v>
      </c>
    </row>
    <row r="540" spans="1:7" s="297" customFormat="1" ht="54.75" customHeight="1">
      <c r="A540" s="259"/>
      <c r="B540" s="266"/>
      <c r="C540" s="286" t="s">
        <v>760</v>
      </c>
      <c r="D540" s="365" t="s">
        <v>764</v>
      </c>
      <c r="E540" s="268">
        <v>120170</v>
      </c>
      <c r="F540" s="268">
        <v>50432.7</v>
      </c>
      <c r="G540" s="264">
        <f t="shared" si="20"/>
        <v>41.967795622867605</v>
      </c>
    </row>
    <row r="541" spans="1:7" s="297" customFormat="1" ht="63.75" customHeight="1" hidden="1">
      <c r="A541" s="259"/>
      <c r="B541" s="266"/>
      <c r="C541" s="286" t="s">
        <v>268</v>
      </c>
      <c r="D541" s="328" t="s">
        <v>626</v>
      </c>
      <c r="E541" s="268">
        <v>0</v>
      </c>
      <c r="F541" s="268">
        <v>0</v>
      </c>
      <c r="G541" s="264" t="s">
        <v>144</v>
      </c>
    </row>
    <row r="542" spans="1:7" s="297" customFormat="1" ht="24.75" customHeight="1">
      <c r="A542" s="253"/>
      <c r="B542" s="344" t="s">
        <v>423</v>
      </c>
      <c r="C542" s="357"/>
      <c r="D542" s="255" t="s">
        <v>302</v>
      </c>
      <c r="E542" s="277">
        <f>SUM(E543:E544)</f>
        <v>318000</v>
      </c>
      <c r="F542" s="277">
        <f>SUM(F543:F544)</f>
        <v>173813.22</v>
      </c>
      <c r="G542" s="257">
        <f>F542/E542*100</f>
        <v>54.65824528301887</v>
      </c>
    </row>
    <row r="543" spans="1:7" s="353" customFormat="1" ht="54" customHeight="1">
      <c r="A543" s="259"/>
      <c r="B543" s="266"/>
      <c r="C543" s="358">
        <v>2110</v>
      </c>
      <c r="D543" s="270" t="s">
        <v>209</v>
      </c>
      <c r="E543" s="268">
        <v>318000</v>
      </c>
      <c r="F543" s="268">
        <v>168000</v>
      </c>
      <c r="G543" s="264">
        <f>F543/E543*100</f>
        <v>52.83018867924528</v>
      </c>
    </row>
    <row r="544" spans="1:7" s="353" customFormat="1" ht="69.75" customHeight="1">
      <c r="A544" s="259"/>
      <c r="B544" s="266"/>
      <c r="C544" s="358">
        <v>2910</v>
      </c>
      <c r="D544" s="262" t="s">
        <v>512</v>
      </c>
      <c r="E544" s="268">
        <v>0</v>
      </c>
      <c r="F544" s="268">
        <v>5813.22</v>
      </c>
      <c r="G544" s="264" t="s">
        <v>144</v>
      </c>
    </row>
    <row r="545" spans="1:7" s="354" customFormat="1" ht="20.25" customHeight="1" hidden="1">
      <c r="A545" s="253"/>
      <c r="B545" s="275" t="s">
        <v>744</v>
      </c>
      <c r="C545" s="344"/>
      <c r="D545" s="255" t="s">
        <v>745</v>
      </c>
      <c r="E545" s="277">
        <f>SUM(E546)</f>
        <v>0</v>
      </c>
      <c r="F545" s="277">
        <f>SUM(F546)</f>
        <v>0</v>
      </c>
      <c r="G545" s="257" t="e">
        <f t="shared" si="20"/>
        <v>#DIV/0!</v>
      </c>
    </row>
    <row r="546" spans="1:7" s="297" customFormat="1" ht="31.5" customHeight="1" hidden="1">
      <c r="A546" s="259"/>
      <c r="B546" s="266"/>
      <c r="C546" s="345" t="s">
        <v>437</v>
      </c>
      <c r="D546" s="270" t="s">
        <v>105</v>
      </c>
      <c r="E546" s="268">
        <v>0</v>
      </c>
      <c r="F546" s="268">
        <v>0</v>
      </c>
      <c r="G546" s="264" t="e">
        <f t="shared" si="20"/>
        <v>#DIV/0!</v>
      </c>
    </row>
    <row r="547" spans="1:7" s="297" customFormat="1" ht="39" customHeight="1">
      <c r="A547" s="253"/>
      <c r="B547" s="275" t="s">
        <v>1121</v>
      </c>
      <c r="C547" s="344"/>
      <c r="D547" s="255" t="s">
        <v>1122</v>
      </c>
      <c r="E547" s="277">
        <f>SUM(E548)</f>
        <v>0</v>
      </c>
      <c r="F547" s="277">
        <f>SUM(F548)</f>
        <v>1650.68</v>
      </c>
      <c r="G547" s="264" t="s">
        <v>144</v>
      </c>
    </row>
    <row r="548" spans="1:7" s="269" customFormat="1" ht="19.5" customHeight="1">
      <c r="A548" s="288"/>
      <c r="B548" s="289"/>
      <c r="C548" s="290" t="s">
        <v>385</v>
      </c>
      <c r="D548" s="262" t="s">
        <v>109</v>
      </c>
      <c r="E548" s="291">
        <v>0</v>
      </c>
      <c r="F548" s="291">
        <v>1650.68</v>
      </c>
      <c r="G548" s="264" t="s">
        <v>144</v>
      </c>
    </row>
    <row r="549" spans="1:7" s="297" customFormat="1" ht="31.5" customHeight="1" hidden="1">
      <c r="A549" s="259"/>
      <c r="B549" s="266"/>
      <c r="C549" s="345" t="s">
        <v>437</v>
      </c>
      <c r="D549" s="270" t="s">
        <v>105</v>
      </c>
      <c r="E549" s="268">
        <v>0</v>
      </c>
      <c r="F549" s="268">
        <v>0</v>
      </c>
      <c r="G549" s="264" t="e">
        <f>F549/E549*100</f>
        <v>#DIV/0!</v>
      </c>
    </row>
    <row r="550" spans="1:7" s="297" customFormat="1" ht="31.5" customHeight="1" hidden="1">
      <c r="A550" s="259"/>
      <c r="B550" s="275" t="s">
        <v>445</v>
      </c>
      <c r="C550" s="344"/>
      <c r="D550" s="255" t="s">
        <v>1481</v>
      </c>
      <c r="E550" s="277">
        <f>SUM(E551)</f>
        <v>0</v>
      </c>
      <c r="F550" s="277">
        <f>SUM(F551)</f>
        <v>0</v>
      </c>
      <c r="G550" s="264" t="s">
        <v>144</v>
      </c>
    </row>
    <row r="551" spans="1:7" s="297" customFormat="1" ht="21" customHeight="1" hidden="1">
      <c r="A551" s="259"/>
      <c r="B551" s="266"/>
      <c r="C551" s="345" t="s">
        <v>383</v>
      </c>
      <c r="D551" s="270" t="s">
        <v>508</v>
      </c>
      <c r="E551" s="268">
        <v>0</v>
      </c>
      <c r="F551" s="268">
        <v>0</v>
      </c>
      <c r="G551" s="264" t="s">
        <v>144</v>
      </c>
    </row>
    <row r="552" spans="1:7" s="354" customFormat="1" ht="15.75" customHeight="1" hidden="1">
      <c r="A552" s="253"/>
      <c r="B552" s="275" t="s">
        <v>455</v>
      </c>
      <c r="C552" s="344"/>
      <c r="D552" s="255" t="s">
        <v>1358</v>
      </c>
      <c r="E552" s="277">
        <f>SUM(E553)</f>
        <v>0</v>
      </c>
      <c r="F552" s="277">
        <f>SUM(F553)</f>
        <v>0</v>
      </c>
      <c r="G552" s="264" t="e">
        <f>F552/E552*100</f>
        <v>#DIV/0!</v>
      </c>
    </row>
    <row r="553" spans="1:7" s="297" customFormat="1" ht="53.25" customHeight="1" hidden="1">
      <c r="A553" s="259"/>
      <c r="B553" s="266"/>
      <c r="C553" s="345" t="s">
        <v>424</v>
      </c>
      <c r="D553" s="270" t="s">
        <v>115</v>
      </c>
      <c r="E553" s="268">
        <v>0</v>
      </c>
      <c r="F553" s="268">
        <v>0</v>
      </c>
      <c r="G553" s="264" t="e">
        <f>F553/E553*100</f>
        <v>#DIV/0!</v>
      </c>
    </row>
    <row r="554" spans="1:7" s="297" customFormat="1" ht="32.25" customHeight="1">
      <c r="A554" s="247" t="s">
        <v>1472</v>
      </c>
      <c r="B554" s="271"/>
      <c r="C554" s="271"/>
      <c r="D554" s="282" t="s">
        <v>640</v>
      </c>
      <c r="E554" s="273">
        <f>SUM(E555,E557,E559,E561,E563)</f>
        <v>138574</v>
      </c>
      <c r="F554" s="273">
        <f>SUM(F555,F557,F559,F561,F563)</f>
        <v>77120</v>
      </c>
      <c r="G554" s="251">
        <f t="shared" si="20"/>
        <v>55.65257551921717</v>
      </c>
    </row>
    <row r="555" spans="1:7" s="297" customFormat="1" ht="22.5" customHeight="1">
      <c r="A555" s="253"/>
      <c r="B555" s="344" t="s">
        <v>1480</v>
      </c>
      <c r="C555" s="357"/>
      <c r="D555" s="255" t="s">
        <v>228</v>
      </c>
      <c r="E555" s="277">
        <f>E556</f>
        <v>35000</v>
      </c>
      <c r="F555" s="277">
        <f>F556</f>
        <v>17496</v>
      </c>
      <c r="G555" s="257">
        <f t="shared" si="20"/>
        <v>49.988571428571426</v>
      </c>
    </row>
    <row r="556" spans="1:7" s="353" customFormat="1" ht="54.75" customHeight="1">
      <c r="A556" s="259"/>
      <c r="B556" s="266"/>
      <c r="C556" s="358">
        <v>2110</v>
      </c>
      <c r="D556" s="270" t="s">
        <v>209</v>
      </c>
      <c r="E556" s="268">
        <v>35000</v>
      </c>
      <c r="F556" s="268">
        <v>17496</v>
      </c>
      <c r="G556" s="264">
        <f t="shared" si="20"/>
        <v>49.988571428571426</v>
      </c>
    </row>
    <row r="557" spans="1:7" s="354" customFormat="1" ht="28.5" customHeight="1" hidden="1">
      <c r="A557" s="253"/>
      <c r="B557" s="275" t="s">
        <v>1335</v>
      </c>
      <c r="C557" s="362"/>
      <c r="D557" s="255" t="s">
        <v>1336</v>
      </c>
      <c r="E557" s="277">
        <f>SUM(E558)</f>
        <v>0</v>
      </c>
      <c r="F557" s="277">
        <f>SUM(F558)</f>
        <v>0</v>
      </c>
      <c r="G557" s="257" t="e">
        <f t="shared" si="20"/>
        <v>#DIV/0!</v>
      </c>
    </row>
    <row r="558" spans="1:7" s="297" customFormat="1" ht="21" customHeight="1" hidden="1">
      <c r="A558" s="259"/>
      <c r="B558" s="266"/>
      <c r="C558" s="345" t="s">
        <v>385</v>
      </c>
      <c r="D558" s="270" t="s">
        <v>109</v>
      </c>
      <c r="E558" s="268">
        <v>0</v>
      </c>
      <c r="F558" s="268">
        <v>0</v>
      </c>
      <c r="G558" s="264" t="e">
        <f t="shared" si="20"/>
        <v>#DIV/0!</v>
      </c>
    </row>
    <row r="559" spans="1:7" s="297" customFormat="1" ht="19.5" customHeight="1">
      <c r="A559" s="253"/>
      <c r="B559" s="275" t="s">
        <v>748</v>
      </c>
      <c r="C559" s="344"/>
      <c r="D559" s="255" t="s">
        <v>749</v>
      </c>
      <c r="E559" s="277">
        <f>SUM(E560)</f>
        <v>66200</v>
      </c>
      <c r="F559" s="277">
        <f>SUM(F560)</f>
        <v>36000</v>
      </c>
      <c r="G559" s="257">
        <f t="shared" si="20"/>
        <v>54.38066465256798</v>
      </c>
    </row>
    <row r="560" spans="1:7" s="297" customFormat="1" ht="63" customHeight="1">
      <c r="A560" s="259"/>
      <c r="B560" s="266"/>
      <c r="C560" s="345" t="s">
        <v>1290</v>
      </c>
      <c r="D560" s="270" t="s">
        <v>143</v>
      </c>
      <c r="E560" s="268">
        <v>66200</v>
      </c>
      <c r="F560" s="268">
        <v>36000</v>
      </c>
      <c r="G560" s="264">
        <f t="shared" si="20"/>
        <v>54.38066465256798</v>
      </c>
    </row>
    <row r="561" spans="1:7" s="297" customFormat="1" ht="20.25" customHeight="1" hidden="1">
      <c r="A561" s="253"/>
      <c r="B561" s="275" t="s">
        <v>534</v>
      </c>
      <c r="C561" s="344"/>
      <c r="D561" s="255" t="s">
        <v>535</v>
      </c>
      <c r="E561" s="277">
        <f>SUM(E562)</f>
        <v>0</v>
      </c>
      <c r="F561" s="277">
        <f>SUM(F562)</f>
        <v>0</v>
      </c>
      <c r="G561" s="257" t="e">
        <f>F561/E561*100</f>
        <v>#DIV/0!</v>
      </c>
    </row>
    <row r="562" spans="1:7" s="297" customFormat="1" ht="63" customHeight="1" hidden="1">
      <c r="A562" s="259"/>
      <c r="B562" s="266"/>
      <c r="C562" s="358">
        <v>2110</v>
      </c>
      <c r="D562" s="270" t="s">
        <v>209</v>
      </c>
      <c r="E562" s="268">
        <v>0</v>
      </c>
      <c r="F562" s="268">
        <v>0</v>
      </c>
      <c r="G562" s="264" t="e">
        <f>F562/E562*100</f>
        <v>#DIV/0!</v>
      </c>
    </row>
    <row r="563" spans="1:7" s="354" customFormat="1" ht="15.75" customHeight="1">
      <c r="A563" s="253"/>
      <c r="B563" s="275" t="s">
        <v>750</v>
      </c>
      <c r="C563" s="344"/>
      <c r="D563" s="255" t="s">
        <v>1358</v>
      </c>
      <c r="E563" s="277">
        <f>SUM(E564,E566,E568)</f>
        <v>37374</v>
      </c>
      <c r="F563" s="277">
        <f>SUM(F564,F566,F568)</f>
        <v>23624</v>
      </c>
      <c r="G563" s="264">
        <f t="shared" si="20"/>
        <v>63.2097179857655</v>
      </c>
    </row>
    <row r="564" spans="1:7" s="297" customFormat="1" ht="64.5" customHeight="1">
      <c r="A564" s="259"/>
      <c r="B564" s="266"/>
      <c r="C564" s="345" t="s">
        <v>409</v>
      </c>
      <c r="D564" s="262" t="s">
        <v>1056</v>
      </c>
      <c r="E564" s="268">
        <v>31250</v>
      </c>
      <c r="F564" s="268">
        <v>23624</v>
      </c>
      <c r="G564" s="264">
        <f t="shared" si="20"/>
        <v>75.5968</v>
      </c>
    </row>
    <row r="565" spans="1:7" s="297" customFormat="1" ht="28.5" customHeight="1">
      <c r="A565" s="259"/>
      <c r="B565" s="266"/>
      <c r="C565" s="345"/>
      <c r="D565" s="262" t="s">
        <v>83</v>
      </c>
      <c r="E565" s="268"/>
      <c r="F565" s="268"/>
      <c r="G565" s="264"/>
    </row>
    <row r="566" spans="1:7" s="297" customFormat="1" ht="30" customHeight="1" hidden="1">
      <c r="A566" s="259"/>
      <c r="B566" s="266"/>
      <c r="C566" s="290" t="s">
        <v>606</v>
      </c>
      <c r="D566" s="262"/>
      <c r="E566" s="291"/>
      <c r="F566" s="291"/>
      <c r="G566" s="264" t="e">
        <f t="shared" si="20"/>
        <v>#DIV/0!</v>
      </c>
    </row>
    <row r="567" spans="1:7" s="297" customFormat="1" ht="78" customHeight="1" hidden="1">
      <c r="A567" s="259"/>
      <c r="B567" s="266"/>
      <c r="C567" s="290"/>
      <c r="D567" s="262" t="s">
        <v>320</v>
      </c>
      <c r="E567" s="291"/>
      <c r="F567" s="291"/>
      <c r="G567" s="264" t="e">
        <f t="shared" si="20"/>
        <v>#DIV/0!</v>
      </c>
    </row>
    <row r="568" spans="1:7" s="297" customFormat="1" ht="67.5" customHeight="1">
      <c r="A568" s="259"/>
      <c r="B568" s="266"/>
      <c r="C568" s="290" t="s">
        <v>346</v>
      </c>
      <c r="D568" s="296" t="s">
        <v>348</v>
      </c>
      <c r="E568" s="268">
        <v>6124</v>
      </c>
      <c r="F568" s="268">
        <v>0</v>
      </c>
      <c r="G568" s="294">
        <f t="shared" si="20"/>
        <v>0</v>
      </c>
    </row>
    <row r="569" spans="1:7" s="297" customFormat="1" ht="29.25" customHeight="1">
      <c r="A569" s="259"/>
      <c r="B569" s="266"/>
      <c r="C569" s="290"/>
      <c r="D569" s="262" t="s">
        <v>83</v>
      </c>
      <c r="E569" s="268"/>
      <c r="F569" s="268"/>
      <c r="G569" s="294"/>
    </row>
    <row r="570" spans="1:7" s="354" customFormat="1" ht="21" customHeight="1">
      <c r="A570" s="247" t="s">
        <v>1482</v>
      </c>
      <c r="B570" s="271"/>
      <c r="C570" s="271"/>
      <c r="D570" s="282" t="s">
        <v>1485</v>
      </c>
      <c r="E570" s="273">
        <f>SUM(E571,E573,E575,E581)</f>
        <v>0</v>
      </c>
      <c r="F570" s="273">
        <f>SUM(F571,F573,F575,F581)</f>
        <v>561</v>
      </c>
      <c r="G570" s="264" t="s">
        <v>144</v>
      </c>
    </row>
    <row r="571" spans="1:7" s="354" customFormat="1" ht="30" customHeight="1" hidden="1">
      <c r="A571" s="253"/>
      <c r="B571" s="275" t="s">
        <v>1487</v>
      </c>
      <c r="C571" s="275"/>
      <c r="D571" s="255" t="s">
        <v>1475</v>
      </c>
      <c r="E571" s="277">
        <f>SUM(E572)</f>
        <v>0</v>
      </c>
      <c r="F571" s="277">
        <f>SUM(F572)</f>
        <v>0</v>
      </c>
      <c r="G571" s="264" t="e">
        <f t="shared" si="20"/>
        <v>#DIV/0!</v>
      </c>
    </row>
    <row r="572" spans="1:7" s="354" customFormat="1" ht="33" customHeight="1" hidden="1">
      <c r="A572" s="259"/>
      <c r="B572" s="266"/>
      <c r="C572" s="266" t="s">
        <v>437</v>
      </c>
      <c r="D572" s="270" t="s">
        <v>105</v>
      </c>
      <c r="E572" s="268">
        <v>0</v>
      </c>
      <c r="F572" s="268"/>
      <c r="G572" s="264" t="e">
        <f t="shared" si="20"/>
        <v>#DIV/0!</v>
      </c>
    </row>
    <row r="573" spans="1:7" s="354" customFormat="1" ht="20.25" customHeight="1" hidden="1">
      <c r="A573" s="253"/>
      <c r="B573" s="275" t="s">
        <v>47</v>
      </c>
      <c r="C573" s="275"/>
      <c r="D573" s="255" t="s">
        <v>982</v>
      </c>
      <c r="E573" s="277">
        <f>SUM(E574)</f>
        <v>0</v>
      </c>
      <c r="F573" s="277">
        <f>SUM(F574)</f>
        <v>0</v>
      </c>
      <c r="G573" s="264" t="e">
        <f t="shared" si="20"/>
        <v>#DIV/0!</v>
      </c>
    </row>
    <row r="574" spans="1:7" s="354" customFormat="1" ht="33" customHeight="1" hidden="1">
      <c r="A574" s="259"/>
      <c r="B574" s="266"/>
      <c r="C574" s="266" t="s">
        <v>437</v>
      </c>
      <c r="D574" s="270" t="s">
        <v>105</v>
      </c>
      <c r="E574" s="268">
        <v>0</v>
      </c>
      <c r="F574" s="268"/>
      <c r="G574" s="264" t="e">
        <f t="shared" si="20"/>
        <v>#DIV/0!</v>
      </c>
    </row>
    <row r="575" spans="1:7" s="354" customFormat="1" ht="20.25" customHeight="1" hidden="1">
      <c r="A575" s="253"/>
      <c r="B575" s="275" t="s">
        <v>50</v>
      </c>
      <c r="C575" s="275"/>
      <c r="D575" s="255" t="s">
        <v>51</v>
      </c>
      <c r="E575" s="277">
        <f>SUM(E576,E577,E579)</f>
        <v>0</v>
      </c>
      <c r="F575" s="277">
        <f>SUM(F576,F577,F579)</f>
        <v>0</v>
      </c>
      <c r="G575" s="264" t="e">
        <f t="shared" si="20"/>
        <v>#DIV/0!</v>
      </c>
    </row>
    <row r="576" spans="1:7" s="354" customFormat="1" ht="30.75" customHeight="1" hidden="1">
      <c r="A576" s="259"/>
      <c r="B576" s="266"/>
      <c r="C576" s="266" t="s">
        <v>437</v>
      </c>
      <c r="D576" s="270" t="s">
        <v>105</v>
      </c>
      <c r="E576" s="268">
        <v>0</v>
      </c>
      <c r="F576" s="268"/>
      <c r="G576" s="264" t="e">
        <f t="shared" si="20"/>
        <v>#DIV/0!</v>
      </c>
    </row>
    <row r="577" spans="1:7" s="297" customFormat="1" ht="67.5" customHeight="1" hidden="1">
      <c r="A577" s="259"/>
      <c r="B577" s="266"/>
      <c r="C577" s="266" t="s">
        <v>375</v>
      </c>
      <c r="D577" s="270" t="s">
        <v>377</v>
      </c>
      <c r="E577" s="268">
        <v>0</v>
      </c>
      <c r="F577" s="268">
        <v>0</v>
      </c>
      <c r="G577" s="264" t="e">
        <f t="shared" si="20"/>
        <v>#DIV/0!</v>
      </c>
    </row>
    <row r="578" spans="1:7" s="297" customFormat="1" ht="68.25" customHeight="1" hidden="1">
      <c r="A578" s="259"/>
      <c r="B578" s="266"/>
      <c r="C578" s="266"/>
      <c r="D578" s="270" t="s">
        <v>571</v>
      </c>
      <c r="E578" s="268"/>
      <c r="F578" s="268"/>
      <c r="G578" s="264" t="e">
        <f t="shared" si="20"/>
        <v>#DIV/0!</v>
      </c>
    </row>
    <row r="579" spans="1:7" s="1407" customFormat="1" ht="67.5" customHeight="1" hidden="1">
      <c r="A579" s="259"/>
      <c r="B579" s="266"/>
      <c r="C579" s="266" t="s">
        <v>376</v>
      </c>
      <c r="D579" s="270" t="s">
        <v>377</v>
      </c>
      <c r="E579" s="268">
        <v>0</v>
      </c>
      <c r="F579" s="268">
        <v>0</v>
      </c>
      <c r="G579" s="264" t="e">
        <f t="shared" si="20"/>
        <v>#DIV/0!</v>
      </c>
    </row>
    <row r="580" spans="1:7" s="297" customFormat="1" ht="79.5" customHeight="1" hidden="1">
      <c r="A580" s="259"/>
      <c r="B580" s="266"/>
      <c r="C580" s="266"/>
      <c r="D580" s="270" t="s">
        <v>577</v>
      </c>
      <c r="E580" s="268"/>
      <c r="F580" s="268"/>
      <c r="G580" s="264" t="e">
        <f t="shared" si="20"/>
        <v>#DIV/0!</v>
      </c>
    </row>
    <row r="581" spans="1:7" s="354" customFormat="1" ht="21" customHeight="1">
      <c r="A581" s="253"/>
      <c r="B581" s="275" t="s">
        <v>987</v>
      </c>
      <c r="C581" s="275"/>
      <c r="D581" s="255" t="s">
        <v>1358</v>
      </c>
      <c r="E581" s="256">
        <f>SUM(E582,E583,E584)</f>
        <v>0</v>
      </c>
      <c r="F581" s="256">
        <f>SUM(F582,F583,F584)</f>
        <v>561</v>
      </c>
      <c r="G581" s="264" t="s">
        <v>144</v>
      </c>
    </row>
    <row r="582" spans="1:7" s="354" customFormat="1" ht="21" customHeight="1">
      <c r="A582" s="253"/>
      <c r="B582" s="275"/>
      <c r="C582" s="290" t="s">
        <v>385</v>
      </c>
      <c r="D582" s="262" t="s">
        <v>109</v>
      </c>
      <c r="E582" s="291">
        <v>0</v>
      </c>
      <c r="F582" s="291">
        <v>561</v>
      </c>
      <c r="G582" s="264" t="s">
        <v>144</v>
      </c>
    </row>
    <row r="583" spans="1:7" s="297" customFormat="1" ht="30" customHeight="1" hidden="1">
      <c r="A583" s="259"/>
      <c r="B583" s="266"/>
      <c r="C583" s="266" t="s">
        <v>437</v>
      </c>
      <c r="D583" s="270" t="s">
        <v>105</v>
      </c>
      <c r="E583" s="263">
        <v>0</v>
      </c>
      <c r="F583" s="263">
        <v>0</v>
      </c>
      <c r="G583" s="264" t="e">
        <f t="shared" si="20"/>
        <v>#DIV/0!</v>
      </c>
    </row>
    <row r="584" spans="1:7" s="297" customFormat="1" ht="44.25" customHeight="1" hidden="1">
      <c r="A584" s="259"/>
      <c r="B584" s="266"/>
      <c r="C584" s="266" t="s">
        <v>77</v>
      </c>
      <c r="D584" s="270" t="s">
        <v>999</v>
      </c>
      <c r="E584" s="263">
        <v>0</v>
      </c>
      <c r="F584" s="263">
        <v>0</v>
      </c>
      <c r="G584" s="264" t="e">
        <f t="shared" si="20"/>
        <v>#DIV/0!</v>
      </c>
    </row>
    <row r="585" spans="1:7" s="297" customFormat="1" ht="26.25" customHeight="1">
      <c r="A585" s="247" t="s">
        <v>53</v>
      </c>
      <c r="B585" s="271"/>
      <c r="C585" s="271"/>
      <c r="D585" s="282" t="s">
        <v>157</v>
      </c>
      <c r="E585" s="273">
        <f>SUM(E586,E588,E590)</f>
        <v>200000</v>
      </c>
      <c r="F585" s="273">
        <f>SUM(F586,F588,F590)</f>
        <v>169829.51</v>
      </c>
      <c r="G585" s="251">
        <f t="shared" si="20"/>
        <v>84.91475500000001</v>
      </c>
    </row>
    <row r="586" spans="1:7" s="354" customFormat="1" ht="20.25" customHeight="1" hidden="1">
      <c r="A586" s="253"/>
      <c r="B586" s="275" t="s">
        <v>421</v>
      </c>
      <c r="C586" s="344"/>
      <c r="D586" s="255" t="s">
        <v>422</v>
      </c>
      <c r="E586" s="279">
        <f>SUM(E587)</f>
        <v>0</v>
      </c>
      <c r="F586" s="277">
        <f>SUM(F587)</f>
        <v>0</v>
      </c>
      <c r="G586" s="257" t="e">
        <f t="shared" si="20"/>
        <v>#DIV/0!</v>
      </c>
    </row>
    <row r="587" spans="1:7" s="354" customFormat="1" ht="21" customHeight="1" hidden="1">
      <c r="A587" s="366"/>
      <c r="B587" s="286"/>
      <c r="C587" s="367" t="s">
        <v>385</v>
      </c>
      <c r="D587" s="365" t="s">
        <v>109</v>
      </c>
      <c r="E587" s="268">
        <v>0</v>
      </c>
      <c r="F587" s="280">
        <v>0</v>
      </c>
      <c r="G587" s="294" t="e">
        <f t="shared" si="20"/>
        <v>#DIV/0!</v>
      </c>
    </row>
    <row r="588" spans="1:7" s="354" customFormat="1" ht="18" customHeight="1" hidden="1">
      <c r="A588" s="368"/>
      <c r="B588" s="287" t="s">
        <v>55</v>
      </c>
      <c r="C588" s="369"/>
      <c r="D588" s="338" t="s">
        <v>56</v>
      </c>
      <c r="E588" s="277">
        <f>SUM(E589)</f>
        <v>0</v>
      </c>
      <c r="F588" s="279">
        <f>SUM(F589)</f>
        <v>0</v>
      </c>
      <c r="G588" s="281" t="s">
        <v>144</v>
      </c>
    </row>
    <row r="589" spans="1:7" s="354" customFormat="1" ht="15.75" customHeight="1" hidden="1">
      <c r="A589" s="366"/>
      <c r="B589" s="286"/>
      <c r="C589" s="367" t="s">
        <v>385</v>
      </c>
      <c r="D589" s="365" t="s">
        <v>109</v>
      </c>
      <c r="E589" s="280">
        <v>0</v>
      </c>
      <c r="F589" s="280">
        <v>0</v>
      </c>
      <c r="G589" s="294" t="s">
        <v>144</v>
      </c>
    </row>
    <row r="590" spans="1:7" s="354" customFormat="1" ht="24.75" customHeight="1">
      <c r="A590" s="368"/>
      <c r="B590" s="287" t="s">
        <v>686</v>
      </c>
      <c r="C590" s="369"/>
      <c r="D590" s="338" t="s">
        <v>318</v>
      </c>
      <c r="E590" s="277">
        <f>SUM(E591)</f>
        <v>200000</v>
      </c>
      <c r="F590" s="279">
        <f>SUM(F591)</f>
        <v>169829.51</v>
      </c>
      <c r="G590" s="281">
        <f t="shared" si="20"/>
        <v>84.91475500000001</v>
      </c>
    </row>
    <row r="591" spans="1:7" s="354" customFormat="1" ht="21" customHeight="1" thickBot="1">
      <c r="A591" s="370"/>
      <c r="B591" s="371"/>
      <c r="C591" s="372" t="s">
        <v>387</v>
      </c>
      <c r="D591" s="373" t="s">
        <v>106</v>
      </c>
      <c r="E591" s="374">
        <v>200000</v>
      </c>
      <c r="F591" s="374">
        <v>169829.51</v>
      </c>
      <c r="G591" s="294">
        <f t="shared" si="20"/>
        <v>84.91475500000001</v>
      </c>
    </row>
    <row r="592" spans="1:7" s="377" customFormat="1" ht="21" customHeight="1" thickBot="1">
      <c r="A592" s="1609" t="s">
        <v>1488</v>
      </c>
      <c r="B592" s="1610"/>
      <c r="C592" s="1610"/>
      <c r="D592" s="1611"/>
      <c r="E592" s="375">
        <f>SUM(E7,E421)</f>
        <v>240704574.10000002</v>
      </c>
      <c r="F592" s="375">
        <f>SUM(F7,F421)</f>
        <v>103404097.16</v>
      </c>
      <c r="G592" s="376">
        <f>F592/E592*100</f>
        <v>42.958924875703055</v>
      </c>
    </row>
    <row r="593" spans="1:7" s="274" customFormat="1" ht="19.5" customHeight="1" hidden="1">
      <c r="A593" s="378"/>
      <c r="B593" s="378"/>
      <c r="C593" s="378"/>
      <c r="D593" s="379" t="s">
        <v>1489</v>
      </c>
      <c r="E593" s="225">
        <v>240704574.1</v>
      </c>
      <c r="F593" s="225">
        <v>103404097.16</v>
      </c>
      <c r="G593" s="380"/>
    </row>
    <row r="594" spans="1:7" s="274" customFormat="1" ht="19.5" customHeight="1" hidden="1">
      <c r="A594" s="378"/>
      <c r="B594" s="378"/>
      <c r="C594" s="378"/>
      <c r="D594" s="379" t="s">
        <v>1490</v>
      </c>
      <c r="E594" s="381">
        <f>E593-E592</f>
        <v>0</v>
      </c>
      <c r="F594" s="381">
        <f>F593-F592</f>
        <v>0</v>
      </c>
      <c r="G594" s="380"/>
    </row>
    <row r="595" spans="1:7" s="269" customFormat="1" ht="19.5" customHeight="1">
      <c r="A595" s="393"/>
      <c r="B595" s="393"/>
      <c r="C595" s="393"/>
      <c r="D595" s="401"/>
      <c r="E595" s="335"/>
      <c r="F595" s="402"/>
      <c r="G595" s="403"/>
    </row>
    <row r="596" spans="1:7" s="269" customFormat="1" ht="19.5" customHeight="1">
      <c r="A596" s="393"/>
      <c r="B596" s="393"/>
      <c r="C596" s="393"/>
      <c r="D596" s="401"/>
      <c r="E596" s="335"/>
      <c r="F596" s="335"/>
      <c r="G596" s="403"/>
    </row>
    <row r="597" spans="1:6" ht="19.5" customHeight="1">
      <c r="A597" s="334"/>
      <c r="B597" s="334"/>
      <c r="C597" s="334"/>
      <c r="D597" s="385"/>
      <c r="E597" s="404"/>
      <c r="F597" s="405"/>
    </row>
    <row r="598" spans="1:6" ht="19.5" customHeight="1">
      <c r="A598" s="334"/>
      <c r="B598" s="334"/>
      <c r="C598" s="334"/>
      <c r="D598" s="385"/>
      <c r="E598" s="404"/>
      <c r="F598" s="405"/>
    </row>
    <row r="599" spans="1:6" ht="19.5" customHeight="1">
      <c r="A599" s="334"/>
      <c r="B599" s="334"/>
      <c r="C599" s="334"/>
      <c r="D599" s="385"/>
      <c r="E599" s="404"/>
      <c r="F599" s="405"/>
    </row>
    <row r="600" spans="1:6" ht="19.5" customHeight="1">
      <c r="A600" s="334"/>
      <c r="B600" s="334"/>
      <c r="C600" s="334"/>
      <c r="D600" s="385"/>
      <c r="E600" s="404"/>
      <c r="F600" s="405"/>
    </row>
    <row r="601" spans="1:6" ht="19.5" customHeight="1">
      <c r="A601" s="334"/>
      <c r="B601" s="334"/>
      <c r="C601" s="334"/>
      <c r="D601" s="385"/>
      <c r="E601" s="404"/>
      <c r="F601" s="405"/>
    </row>
    <row r="602" spans="1:6" ht="19.5" customHeight="1">
      <c r="A602" s="334"/>
      <c r="B602" s="334"/>
      <c r="C602" s="334"/>
      <c r="D602" s="385"/>
      <c r="E602" s="404"/>
      <c r="F602" s="405"/>
    </row>
    <row r="603" spans="1:6" ht="19.5" customHeight="1">
      <c r="A603" s="334"/>
      <c r="B603" s="334"/>
      <c r="C603" s="334"/>
      <c r="D603" s="385"/>
      <c r="E603" s="404"/>
      <c r="F603" s="405"/>
    </row>
    <row r="604" spans="1:6" ht="19.5" customHeight="1">
      <c r="A604" s="334"/>
      <c r="B604" s="334"/>
      <c r="C604" s="334"/>
      <c r="D604" s="385"/>
      <c r="E604" s="404"/>
      <c r="F604" s="405"/>
    </row>
    <row r="605" spans="1:6" ht="19.5" customHeight="1">
      <c r="A605" s="334"/>
      <c r="B605" s="334"/>
      <c r="C605" s="334"/>
      <c r="D605" s="385"/>
      <c r="E605" s="404"/>
      <c r="F605" s="405"/>
    </row>
    <row r="606" spans="1:6" ht="19.5" customHeight="1">
      <c r="A606" s="334"/>
      <c r="B606" s="334"/>
      <c r="C606" s="334"/>
      <c r="D606" s="385"/>
      <c r="E606" s="404"/>
      <c r="F606" s="405"/>
    </row>
    <row r="607" spans="1:9" ht="19.5" customHeight="1">
      <c r="A607" s="334"/>
      <c r="B607" s="334"/>
      <c r="C607" s="334"/>
      <c r="D607" s="385"/>
      <c r="E607" s="404"/>
      <c r="F607" s="405"/>
      <c r="I607" s="1408"/>
    </row>
    <row r="608" spans="1:6" ht="19.5" customHeight="1">
      <c r="A608" s="334"/>
      <c r="B608" s="334"/>
      <c r="C608" s="334"/>
      <c r="D608" s="385"/>
      <c r="E608" s="404"/>
      <c r="F608" s="405"/>
    </row>
    <row r="609" spans="1:6" ht="19.5" customHeight="1">
      <c r="A609" s="334"/>
      <c r="B609" s="334"/>
      <c r="C609" s="334"/>
      <c r="D609" s="385"/>
      <c r="E609" s="404"/>
      <c r="F609" s="405"/>
    </row>
    <row r="610" spans="1:6" ht="19.5" customHeight="1">
      <c r="A610" s="334"/>
      <c r="B610" s="334"/>
      <c r="C610" s="334"/>
      <c r="D610" s="385"/>
      <c r="E610" s="404"/>
      <c r="F610" s="405"/>
    </row>
    <row r="611" spans="1:6" ht="19.5" customHeight="1">
      <c r="A611" s="334"/>
      <c r="B611" s="334"/>
      <c r="C611" s="334"/>
      <c r="D611" s="385"/>
      <c r="E611" s="404"/>
      <c r="F611" s="405"/>
    </row>
    <row r="612" spans="1:6" ht="19.5" customHeight="1">
      <c r="A612" s="334"/>
      <c r="B612" s="334"/>
      <c r="C612" s="334"/>
      <c r="D612" s="385"/>
      <c r="E612" s="404"/>
      <c r="F612" s="405"/>
    </row>
    <row r="613" spans="1:6" ht="19.5" customHeight="1">
      <c r="A613" s="334"/>
      <c r="B613" s="334"/>
      <c r="C613" s="334"/>
      <c r="D613" s="385"/>
      <c r="E613" s="404"/>
      <c r="F613" s="405"/>
    </row>
    <row r="614" spans="1:6" ht="19.5" customHeight="1">
      <c r="A614" s="334"/>
      <c r="B614" s="334"/>
      <c r="C614" s="334"/>
      <c r="D614" s="385"/>
      <c r="E614" s="404"/>
      <c r="F614" s="405"/>
    </row>
    <row r="615" spans="1:6" ht="19.5" customHeight="1">
      <c r="A615" s="334"/>
      <c r="B615" s="334"/>
      <c r="C615" s="334"/>
      <c r="D615" s="385"/>
      <c r="E615" s="404"/>
      <c r="F615" s="405"/>
    </row>
    <row r="616" spans="1:6" ht="19.5" customHeight="1">
      <c r="A616" s="334"/>
      <c r="B616" s="334"/>
      <c r="C616" s="334"/>
      <c r="D616" s="385"/>
      <c r="E616" s="404"/>
      <c r="F616" s="405"/>
    </row>
    <row r="617" spans="1:6" ht="19.5" customHeight="1">
      <c r="A617" s="334"/>
      <c r="B617" s="334"/>
      <c r="C617" s="334"/>
      <c r="D617" s="385"/>
      <c r="E617" s="404"/>
      <c r="F617" s="405"/>
    </row>
    <row r="618" spans="1:6" ht="19.5" customHeight="1">
      <c r="A618" s="334"/>
      <c r="B618" s="334"/>
      <c r="C618" s="334"/>
      <c r="D618" s="385"/>
      <c r="E618" s="404"/>
      <c r="F618" s="405"/>
    </row>
    <row r="619" spans="1:6" ht="19.5" customHeight="1">
      <c r="A619" s="334"/>
      <c r="B619" s="334"/>
      <c r="C619" s="334"/>
      <c r="D619" s="385"/>
      <c r="E619" s="404"/>
      <c r="F619" s="405"/>
    </row>
    <row r="620" spans="1:6" ht="19.5" customHeight="1">
      <c r="A620" s="334"/>
      <c r="B620" s="334"/>
      <c r="C620" s="334"/>
      <c r="D620" s="385"/>
      <c r="E620" s="404"/>
      <c r="F620" s="405"/>
    </row>
    <row r="621" spans="1:6" ht="19.5" customHeight="1">
      <c r="A621" s="334"/>
      <c r="B621" s="334"/>
      <c r="C621" s="334"/>
      <c r="D621" s="385"/>
      <c r="E621" s="404"/>
      <c r="F621" s="405"/>
    </row>
    <row r="622" spans="1:6" ht="19.5" customHeight="1">
      <c r="A622" s="334"/>
      <c r="B622" s="334"/>
      <c r="C622" s="334"/>
      <c r="D622" s="385"/>
      <c r="E622" s="404"/>
      <c r="F622" s="405"/>
    </row>
    <row r="623" spans="1:6" ht="19.5" customHeight="1">
      <c r="A623" s="334"/>
      <c r="B623" s="334"/>
      <c r="C623" s="334"/>
      <c r="D623" s="385"/>
      <c r="E623" s="404"/>
      <c r="F623" s="405"/>
    </row>
    <row r="624" spans="1:6" ht="19.5" customHeight="1">
      <c r="A624" s="334"/>
      <c r="B624" s="334"/>
      <c r="C624" s="334"/>
      <c r="D624" s="385"/>
      <c r="E624" s="404"/>
      <c r="F624" s="405"/>
    </row>
    <row r="625" spans="1:6" ht="19.5" customHeight="1">
      <c r="A625" s="334"/>
      <c r="B625" s="334"/>
      <c r="C625" s="334"/>
      <c r="D625" s="385"/>
      <c r="E625" s="404"/>
      <c r="F625" s="405"/>
    </row>
    <row r="626" spans="1:6" ht="19.5" customHeight="1">
      <c r="A626" s="334"/>
      <c r="B626" s="334"/>
      <c r="C626" s="334"/>
      <c r="D626" s="385"/>
      <c r="E626" s="404"/>
      <c r="F626" s="405"/>
    </row>
    <row r="627" spans="1:6" ht="19.5" customHeight="1">
      <c r="A627" s="334"/>
      <c r="B627" s="334"/>
      <c r="C627" s="334"/>
      <c r="D627" s="385"/>
      <c r="E627" s="404"/>
      <c r="F627" s="405"/>
    </row>
    <row r="628" spans="1:6" ht="19.5" customHeight="1">
      <c r="A628" s="334"/>
      <c r="B628" s="334"/>
      <c r="C628" s="334"/>
      <c r="D628" s="385"/>
      <c r="E628" s="404"/>
      <c r="F628" s="405"/>
    </row>
    <row r="629" spans="1:6" ht="19.5" customHeight="1">
      <c r="A629" s="334"/>
      <c r="B629" s="334"/>
      <c r="C629" s="334"/>
      <c r="D629" s="385"/>
      <c r="E629" s="404"/>
      <c r="F629" s="405"/>
    </row>
    <row r="630" spans="1:6" ht="19.5" customHeight="1">
      <c r="A630" s="334"/>
      <c r="B630" s="334"/>
      <c r="C630" s="334"/>
      <c r="D630" s="385"/>
      <c r="E630" s="404"/>
      <c r="F630" s="405"/>
    </row>
    <row r="631" spans="1:6" ht="19.5" customHeight="1">
      <c r="A631" s="334"/>
      <c r="B631" s="334"/>
      <c r="C631" s="334"/>
      <c r="D631" s="385"/>
      <c r="E631" s="404"/>
      <c r="F631" s="405"/>
    </row>
    <row r="632" spans="1:6" ht="19.5" customHeight="1">
      <c r="A632" s="334"/>
      <c r="B632" s="334"/>
      <c r="C632" s="334"/>
      <c r="D632" s="385"/>
      <c r="E632" s="404"/>
      <c r="F632" s="405"/>
    </row>
    <row r="633" spans="1:6" ht="19.5" customHeight="1">
      <c r="A633" s="334"/>
      <c r="B633" s="334"/>
      <c r="C633" s="334"/>
      <c r="D633" s="385"/>
      <c r="E633" s="404"/>
      <c r="F633" s="405"/>
    </row>
    <row r="634" spans="1:6" ht="19.5" customHeight="1">
      <c r="A634" s="334"/>
      <c r="B634" s="334"/>
      <c r="C634" s="334"/>
      <c r="D634" s="385"/>
      <c r="E634" s="404"/>
      <c r="F634" s="405"/>
    </row>
    <row r="635" spans="1:6" ht="19.5" customHeight="1">
      <c r="A635" s="334"/>
      <c r="B635" s="334"/>
      <c r="C635" s="334"/>
      <c r="D635" s="385"/>
      <c r="E635" s="404"/>
      <c r="F635" s="405"/>
    </row>
    <row r="636" spans="1:6" ht="19.5" customHeight="1">
      <c r="A636" s="334"/>
      <c r="B636" s="334"/>
      <c r="C636" s="334"/>
      <c r="D636" s="385"/>
      <c r="E636" s="404"/>
      <c r="F636" s="405"/>
    </row>
    <row r="637" spans="1:6" ht="19.5" customHeight="1">
      <c r="A637" s="334"/>
      <c r="B637" s="334"/>
      <c r="C637" s="334"/>
      <c r="D637" s="385"/>
      <c r="E637" s="404"/>
      <c r="F637" s="405"/>
    </row>
    <row r="638" spans="1:6" ht="19.5" customHeight="1">
      <c r="A638" s="334"/>
      <c r="B638" s="334"/>
      <c r="C638" s="334"/>
      <c r="D638" s="385"/>
      <c r="E638" s="404"/>
      <c r="F638" s="405"/>
    </row>
    <row r="639" spans="1:6" ht="19.5" customHeight="1">
      <c r="A639" s="334"/>
      <c r="B639" s="334"/>
      <c r="C639" s="334"/>
      <c r="D639" s="385"/>
      <c r="E639" s="404"/>
      <c r="F639" s="405"/>
    </row>
    <row r="640" spans="1:6" ht="19.5" customHeight="1">
      <c r="A640" s="334"/>
      <c r="B640" s="334"/>
      <c r="C640" s="334"/>
      <c r="D640" s="385"/>
      <c r="E640" s="404"/>
      <c r="F640" s="405"/>
    </row>
    <row r="641" spans="1:6" ht="19.5" customHeight="1">
      <c r="A641" s="334"/>
      <c r="B641" s="334"/>
      <c r="C641" s="334"/>
      <c r="D641" s="385"/>
      <c r="E641" s="404"/>
      <c r="F641" s="405"/>
    </row>
    <row r="642" spans="1:6" ht="19.5" customHeight="1">
      <c r="A642" s="334"/>
      <c r="B642" s="334"/>
      <c r="C642" s="334"/>
      <c r="D642" s="385"/>
      <c r="E642" s="404"/>
      <c r="F642" s="405"/>
    </row>
    <row r="643" spans="1:6" ht="19.5" customHeight="1">
      <c r="A643" s="334"/>
      <c r="B643" s="334"/>
      <c r="C643" s="334"/>
      <c r="D643" s="385"/>
      <c r="E643" s="404"/>
      <c r="F643" s="405"/>
    </row>
    <row r="644" spans="1:6" ht="19.5" customHeight="1">
      <c r="A644" s="334"/>
      <c r="B644" s="334"/>
      <c r="C644" s="334"/>
      <c r="D644" s="385"/>
      <c r="E644" s="404"/>
      <c r="F644" s="405"/>
    </row>
    <row r="645" spans="1:6" ht="19.5" customHeight="1">
      <c r="A645" s="334"/>
      <c r="B645" s="334"/>
      <c r="C645" s="334"/>
      <c r="D645" s="385"/>
      <c r="E645" s="404"/>
      <c r="F645" s="405"/>
    </row>
    <row r="646" spans="1:6" ht="19.5" customHeight="1">
      <c r="A646" s="334"/>
      <c r="B646" s="334"/>
      <c r="C646" s="334"/>
      <c r="D646" s="385"/>
      <c r="E646" s="404"/>
      <c r="F646" s="405"/>
    </row>
    <row r="647" spans="1:6" ht="19.5" customHeight="1">
      <c r="A647" s="334"/>
      <c r="B647" s="334"/>
      <c r="C647" s="334"/>
      <c r="D647" s="385"/>
      <c r="E647" s="404"/>
      <c r="F647" s="405"/>
    </row>
    <row r="648" spans="1:6" ht="19.5" customHeight="1">
      <c r="A648" s="334"/>
      <c r="B648" s="334"/>
      <c r="C648" s="334"/>
      <c r="D648" s="385"/>
      <c r="E648" s="404"/>
      <c r="F648" s="405"/>
    </row>
    <row r="649" spans="1:6" ht="19.5" customHeight="1">
      <c r="A649" s="334"/>
      <c r="B649" s="334"/>
      <c r="C649" s="334"/>
      <c r="D649" s="385"/>
      <c r="E649" s="404"/>
      <c r="F649" s="405"/>
    </row>
    <row r="650" spans="1:6" ht="19.5" customHeight="1">
      <c r="A650" s="334"/>
      <c r="B650" s="334"/>
      <c r="C650" s="334"/>
      <c r="D650" s="385"/>
      <c r="E650" s="404"/>
      <c r="F650" s="405"/>
    </row>
    <row r="651" spans="1:6" ht="19.5" customHeight="1">
      <c r="A651" s="334"/>
      <c r="B651" s="334"/>
      <c r="C651" s="334"/>
      <c r="D651" s="385"/>
      <c r="E651" s="404"/>
      <c r="F651" s="405"/>
    </row>
    <row r="652" spans="1:6" ht="19.5" customHeight="1">
      <c r="A652" s="334"/>
      <c r="B652" s="334"/>
      <c r="C652" s="334"/>
      <c r="D652" s="385"/>
      <c r="E652" s="404"/>
      <c r="F652" s="405"/>
    </row>
    <row r="653" spans="1:6" ht="19.5" customHeight="1">
      <c r="A653" s="334"/>
      <c r="B653" s="334"/>
      <c r="C653" s="334"/>
      <c r="D653" s="385"/>
      <c r="E653" s="404"/>
      <c r="F653" s="405"/>
    </row>
    <row r="654" spans="1:6" ht="19.5" customHeight="1">
      <c r="A654" s="334"/>
      <c r="B654" s="334"/>
      <c r="C654" s="334"/>
      <c r="D654" s="385"/>
      <c r="E654" s="404"/>
      <c r="F654" s="405"/>
    </row>
    <row r="655" spans="1:6" ht="19.5" customHeight="1">
      <c r="A655" s="334"/>
      <c r="B655" s="334"/>
      <c r="C655" s="334"/>
      <c r="D655" s="385"/>
      <c r="E655" s="404"/>
      <c r="F655" s="405"/>
    </row>
    <row r="656" spans="1:6" ht="19.5" customHeight="1">
      <c r="A656" s="334"/>
      <c r="B656" s="334"/>
      <c r="C656" s="334"/>
      <c r="D656" s="385"/>
      <c r="E656" s="404"/>
      <c r="F656" s="405"/>
    </row>
    <row r="657" spans="1:6" ht="19.5" customHeight="1">
      <c r="A657" s="334"/>
      <c r="B657" s="334"/>
      <c r="C657" s="334"/>
      <c r="D657" s="385"/>
      <c r="E657" s="404"/>
      <c r="F657" s="405"/>
    </row>
    <row r="658" spans="1:6" ht="19.5" customHeight="1">
      <c r="A658" s="334"/>
      <c r="B658" s="334"/>
      <c r="C658" s="334"/>
      <c r="D658" s="385"/>
      <c r="E658" s="404"/>
      <c r="F658" s="405"/>
    </row>
    <row r="659" spans="1:6" ht="19.5" customHeight="1">
      <c r="A659" s="334"/>
      <c r="B659" s="334"/>
      <c r="C659" s="334"/>
      <c r="D659" s="385"/>
      <c r="E659" s="404"/>
      <c r="F659" s="405"/>
    </row>
    <row r="660" spans="1:6" ht="19.5" customHeight="1">
      <c r="A660" s="334"/>
      <c r="B660" s="334"/>
      <c r="C660" s="334"/>
      <c r="D660" s="385"/>
      <c r="E660" s="404"/>
      <c r="F660" s="405"/>
    </row>
    <row r="661" spans="1:6" ht="19.5" customHeight="1">
      <c r="A661" s="334"/>
      <c r="B661" s="334"/>
      <c r="C661" s="334"/>
      <c r="D661" s="385"/>
      <c r="E661" s="404"/>
      <c r="F661" s="405"/>
    </row>
    <row r="662" spans="1:6" ht="19.5" customHeight="1">
      <c r="A662" s="334"/>
      <c r="B662" s="334"/>
      <c r="C662" s="334"/>
      <c r="D662" s="385"/>
      <c r="E662" s="404"/>
      <c r="F662" s="405"/>
    </row>
    <row r="663" spans="1:6" ht="19.5" customHeight="1">
      <c r="A663" s="334"/>
      <c r="B663" s="334"/>
      <c r="C663" s="334"/>
      <c r="D663" s="385"/>
      <c r="E663" s="404"/>
      <c r="F663" s="405"/>
    </row>
    <row r="664" spans="1:6" ht="19.5" customHeight="1">
      <c r="A664" s="334"/>
      <c r="B664" s="334"/>
      <c r="C664" s="334"/>
      <c r="D664" s="385"/>
      <c r="E664" s="404"/>
      <c r="F664" s="405"/>
    </row>
    <row r="665" spans="1:6" ht="19.5" customHeight="1">
      <c r="A665" s="334"/>
      <c r="B665" s="334"/>
      <c r="C665" s="334"/>
      <c r="D665" s="385"/>
      <c r="E665" s="404"/>
      <c r="F665" s="405"/>
    </row>
    <row r="666" spans="1:6" ht="19.5" customHeight="1">
      <c r="A666" s="334"/>
      <c r="B666" s="334"/>
      <c r="C666" s="334"/>
      <c r="D666" s="385"/>
      <c r="E666" s="404"/>
      <c r="F666" s="405"/>
    </row>
    <row r="667" spans="1:6" ht="19.5" customHeight="1">
      <c r="A667" s="334"/>
      <c r="B667" s="334"/>
      <c r="C667" s="334"/>
      <c r="D667" s="385"/>
      <c r="E667" s="404"/>
      <c r="F667" s="405"/>
    </row>
    <row r="668" spans="1:6" ht="19.5" customHeight="1">
      <c r="A668" s="334"/>
      <c r="B668" s="334"/>
      <c r="C668" s="334"/>
      <c r="D668" s="385"/>
      <c r="E668" s="404"/>
      <c r="F668" s="405"/>
    </row>
    <row r="669" spans="1:6" ht="19.5" customHeight="1">
      <c r="A669" s="334"/>
      <c r="B669" s="334"/>
      <c r="C669" s="334"/>
      <c r="D669" s="385"/>
      <c r="E669" s="404"/>
      <c r="F669" s="405"/>
    </row>
    <row r="670" spans="1:6" ht="19.5" customHeight="1">
      <c r="A670" s="334"/>
      <c r="B670" s="334"/>
      <c r="C670" s="334"/>
      <c r="D670" s="385"/>
      <c r="E670" s="404"/>
      <c r="F670" s="405"/>
    </row>
    <row r="671" spans="1:6" ht="19.5" customHeight="1">
      <c r="A671" s="334"/>
      <c r="B671" s="334"/>
      <c r="C671" s="334"/>
      <c r="D671" s="385"/>
      <c r="E671" s="404"/>
      <c r="F671" s="405"/>
    </row>
    <row r="672" spans="1:6" ht="19.5" customHeight="1">
      <c r="A672" s="334"/>
      <c r="B672" s="334"/>
      <c r="C672" s="334"/>
      <c r="D672" s="385"/>
      <c r="E672" s="404"/>
      <c r="F672" s="405"/>
    </row>
    <row r="673" spans="1:6" ht="19.5" customHeight="1">
      <c r="A673" s="334"/>
      <c r="B673" s="334"/>
      <c r="C673" s="334"/>
      <c r="D673" s="385"/>
      <c r="E673" s="404"/>
      <c r="F673" s="405"/>
    </row>
    <row r="674" spans="1:6" ht="19.5" customHeight="1">
      <c r="A674" s="334"/>
      <c r="B674" s="334"/>
      <c r="C674" s="334"/>
      <c r="D674" s="385"/>
      <c r="E674" s="404"/>
      <c r="F674" s="405"/>
    </row>
    <row r="675" spans="1:6" ht="19.5" customHeight="1">
      <c r="A675" s="334"/>
      <c r="B675" s="334"/>
      <c r="C675" s="334"/>
      <c r="D675" s="385"/>
      <c r="E675" s="404"/>
      <c r="F675" s="405"/>
    </row>
    <row r="676" spans="1:6" ht="19.5" customHeight="1">
      <c r="A676" s="334"/>
      <c r="B676" s="334"/>
      <c r="C676" s="334"/>
      <c r="D676" s="385"/>
      <c r="E676" s="404"/>
      <c r="F676" s="405"/>
    </row>
    <row r="677" spans="1:6" ht="19.5" customHeight="1">
      <c r="A677" s="334"/>
      <c r="B677" s="334"/>
      <c r="C677" s="334"/>
      <c r="D677" s="385"/>
      <c r="E677" s="404"/>
      <c r="F677" s="405"/>
    </row>
    <row r="678" spans="1:6" ht="19.5" customHeight="1">
      <c r="A678" s="334"/>
      <c r="B678" s="334"/>
      <c r="C678" s="334"/>
      <c r="D678" s="385"/>
      <c r="E678" s="404"/>
      <c r="F678" s="405"/>
    </row>
    <row r="679" spans="1:6" ht="19.5" customHeight="1">
      <c r="A679" s="334"/>
      <c r="B679" s="334"/>
      <c r="C679" s="334"/>
      <c r="D679" s="385"/>
      <c r="E679" s="404"/>
      <c r="F679" s="405"/>
    </row>
    <row r="680" spans="1:6" ht="19.5" customHeight="1">
      <c r="A680" s="334"/>
      <c r="B680" s="334"/>
      <c r="C680" s="334"/>
      <c r="D680" s="385"/>
      <c r="E680" s="404"/>
      <c r="F680" s="405"/>
    </row>
    <row r="681" spans="1:6" ht="19.5" customHeight="1">
      <c r="A681" s="334"/>
      <c r="B681" s="334"/>
      <c r="C681" s="334"/>
      <c r="D681" s="385"/>
      <c r="E681" s="404"/>
      <c r="F681" s="405"/>
    </row>
    <row r="682" spans="1:6" ht="19.5" customHeight="1">
      <c r="A682" s="334"/>
      <c r="B682" s="334"/>
      <c r="C682" s="334"/>
      <c r="D682" s="385"/>
      <c r="E682" s="342"/>
      <c r="F682" s="405"/>
    </row>
    <row r="683" spans="1:6" ht="19.5" customHeight="1">
      <c r="A683" s="334"/>
      <c r="B683" s="334"/>
      <c r="C683" s="334"/>
      <c r="D683" s="385"/>
      <c r="E683" s="342"/>
      <c r="F683" s="405"/>
    </row>
    <row r="684" spans="1:6" ht="19.5" customHeight="1">
      <c r="A684" s="334"/>
      <c r="B684" s="334"/>
      <c r="C684" s="334"/>
      <c r="D684" s="385"/>
      <c r="E684" s="342"/>
      <c r="F684" s="405"/>
    </row>
    <row r="685" spans="1:6" ht="19.5" customHeight="1">
      <c r="A685" s="334"/>
      <c r="B685" s="334"/>
      <c r="C685" s="334"/>
      <c r="D685" s="385"/>
      <c r="E685" s="342"/>
      <c r="F685" s="405"/>
    </row>
    <row r="686" spans="1:6" ht="19.5" customHeight="1">
      <c r="A686" s="334"/>
      <c r="B686" s="334"/>
      <c r="C686" s="334"/>
      <c r="D686" s="385"/>
      <c r="E686" s="342"/>
      <c r="F686" s="405"/>
    </row>
    <row r="687" spans="1:6" ht="19.5" customHeight="1">
      <c r="A687" s="334"/>
      <c r="B687" s="334"/>
      <c r="C687" s="334"/>
      <c r="D687" s="385"/>
      <c r="E687" s="342"/>
      <c r="F687" s="405"/>
    </row>
    <row r="688" spans="1:6" ht="19.5" customHeight="1">
      <c r="A688" s="334"/>
      <c r="B688" s="334"/>
      <c r="C688" s="334"/>
      <c r="D688" s="385"/>
      <c r="E688" s="342"/>
      <c r="F688" s="405"/>
    </row>
    <row r="689" spans="1:6" ht="19.5" customHeight="1">
      <c r="A689" s="334"/>
      <c r="B689" s="334"/>
      <c r="C689" s="334"/>
      <c r="D689" s="385"/>
      <c r="E689" s="342"/>
      <c r="F689" s="405"/>
    </row>
    <row r="690" spans="1:6" ht="19.5" customHeight="1">
      <c r="A690" s="334"/>
      <c r="B690" s="334"/>
      <c r="C690" s="334"/>
      <c r="D690" s="385"/>
      <c r="E690" s="342"/>
      <c r="F690" s="405"/>
    </row>
    <row r="691" spans="1:6" ht="19.5" customHeight="1">
      <c r="A691" s="334"/>
      <c r="B691" s="334"/>
      <c r="C691" s="334"/>
      <c r="D691" s="385"/>
      <c r="E691" s="342"/>
      <c r="F691" s="405"/>
    </row>
    <row r="692" spans="1:6" ht="19.5" customHeight="1">
      <c r="A692" s="334"/>
      <c r="B692" s="334"/>
      <c r="C692" s="334"/>
      <c r="D692" s="385"/>
      <c r="E692" s="342"/>
      <c r="F692" s="405"/>
    </row>
    <row r="693" spans="1:6" ht="19.5" customHeight="1">
      <c r="A693" s="334"/>
      <c r="B693" s="334"/>
      <c r="C693" s="334"/>
      <c r="D693" s="385"/>
      <c r="E693" s="342"/>
      <c r="F693" s="405"/>
    </row>
    <row r="694" spans="1:6" ht="19.5" customHeight="1">
      <c r="A694" s="334"/>
      <c r="B694" s="334"/>
      <c r="C694" s="334"/>
      <c r="D694" s="385"/>
      <c r="E694" s="342"/>
      <c r="F694" s="405"/>
    </row>
    <row r="695" spans="1:6" ht="19.5" customHeight="1">
      <c r="A695" s="334"/>
      <c r="B695" s="334"/>
      <c r="C695" s="334"/>
      <c r="D695" s="385"/>
      <c r="E695" s="342"/>
      <c r="F695" s="405"/>
    </row>
    <row r="696" spans="1:6" ht="19.5" customHeight="1">
      <c r="A696" s="334"/>
      <c r="B696" s="334"/>
      <c r="C696" s="334"/>
      <c r="D696" s="385"/>
      <c r="E696" s="342"/>
      <c r="F696" s="405"/>
    </row>
    <row r="697" spans="1:6" ht="19.5" customHeight="1">
      <c r="A697" s="334"/>
      <c r="B697" s="334"/>
      <c r="C697" s="334"/>
      <c r="D697" s="385"/>
      <c r="E697" s="342"/>
      <c r="F697" s="405"/>
    </row>
    <row r="698" spans="1:6" ht="19.5" customHeight="1">
      <c r="A698" s="334"/>
      <c r="B698" s="334"/>
      <c r="C698" s="334"/>
      <c r="D698" s="385"/>
      <c r="E698" s="342"/>
      <c r="F698" s="405"/>
    </row>
    <row r="699" spans="1:6" ht="19.5" customHeight="1">
      <c r="A699" s="334"/>
      <c r="B699" s="334"/>
      <c r="C699" s="334"/>
      <c r="D699" s="385"/>
      <c r="E699" s="342"/>
      <c r="F699" s="405"/>
    </row>
    <row r="700" spans="1:6" ht="19.5" customHeight="1">
      <c r="A700" s="334"/>
      <c r="B700" s="334"/>
      <c r="C700" s="334"/>
      <c r="D700" s="385"/>
      <c r="E700" s="342"/>
      <c r="F700" s="405"/>
    </row>
    <row r="701" spans="1:6" ht="19.5" customHeight="1">
      <c r="A701" s="334"/>
      <c r="B701" s="334"/>
      <c r="C701" s="334"/>
      <c r="D701" s="385"/>
      <c r="E701" s="342"/>
      <c r="F701" s="405"/>
    </row>
    <row r="702" spans="1:6" ht="19.5" customHeight="1">
      <c r="A702" s="334"/>
      <c r="B702" s="334"/>
      <c r="C702" s="334"/>
      <c r="D702" s="385"/>
      <c r="E702" s="342"/>
      <c r="F702" s="405"/>
    </row>
    <row r="703" spans="1:6" ht="19.5" customHeight="1">
      <c r="A703" s="334"/>
      <c r="B703" s="334"/>
      <c r="C703" s="334"/>
      <c r="D703" s="385"/>
      <c r="E703" s="342"/>
      <c r="F703" s="405"/>
    </row>
    <row r="704" spans="1:6" ht="19.5" customHeight="1">
      <c r="A704" s="334"/>
      <c r="B704" s="334"/>
      <c r="C704" s="334"/>
      <c r="D704" s="385"/>
      <c r="E704" s="342"/>
      <c r="F704" s="405"/>
    </row>
    <row r="705" spans="1:6" ht="19.5" customHeight="1">
      <c r="A705" s="334"/>
      <c r="B705" s="334"/>
      <c r="C705" s="334"/>
      <c r="D705" s="385"/>
      <c r="E705" s="342"/>
      <c r="F705" s="405"/>
    </row>
    <row r="706" spans="1:6" ht="19.5" customHeight="1">
      <c r="A706" s="334"/>
      <c r="B706" s="334"/>
      <c r="C706" s="334"/>
      <c r="D706" s="385"/>
      <c r="E706" s="342"/>
      <c r="F706" s="405"/>
    </row>
    <row r="707" spans="1:6" ht="19.5" customHeight="1">
      <c r="A707" s="334"/>
      <c r="B707" s="334"/>
      <c r="C707" s="334"/>
      <c r="D707" s="385"/>
      <c r="E707" s="342"/>
      <c r="F707" s="405"/>
    </row>
    <row r="708" spans="1:6" ht="19.5" customHeight="1">
      <c r="A708" s="334"/>
      <c r="B708" s="334"/>
      <c r="C708" s="334"/>
      <c r="D708" s="385"/>
      <c r="E708" s="342"/>
      <c r="F708" s="405"/>
    </row>
    <row r="709" spans="1:6" ht="19.5" customHeight="1">
      <c r="A709" s="334"/>
      <c r="B709" s="334"/>
      <c r="C709" s="334"/>
      <c r="D709" s="385"/>
      <c r="E709" s="342"/>
      <c r="F709" s="405"/>
    </row>
    <row r="710" spans="1:6" ht="19.5" customHeight="1">
      <c r="A710" s="334"/>
      <c r="B710" s="334"/>
      <c r="C710" s="334"/>
      <c r="D710" s="385"/>
      <c r="E710" s="342"/>
      <c r="F710" s="405"/>
    </row>
    <row r="711" spans="1:5" ht="19.5" customHeight="1">
      <c r="A711" s="334"/>
      <c r="B711" s="334"/>
      <c r="C711" s="334"/>
      <c r="D711" s="385"/>
      <c r="E711" s="342"/>
    </row>
    <row r="712" spans="1:5" ht="19.5" customHeight="1">
      <c r="A712" s="334"/>
      <c r="B712" s="334"/>
      <c r="C712" s="334"/>
      <c r="D712" s="385"/>
      <c r="E712" s="342"/>
    </row>
    <row r="713" spans="1:5" ht="19.5" customHeight="1">
      <c r="A713" s="334"/>
      <c r="B713" s="334"/>
      <c r="C713" s="334"/>
      <c r="D713" s="385"/>
      <c r="E713" s="342"/>
    </row>
    <row r="714" spans="1:5" ht="19.5" customHeight="1">
      <c r="A714" s="334"/>
      <c r="B714" s="334"/>
      <c r="C714" s="334"/>
      <c r="D714" s="385"/>
      <c r="E714" s="342"/>
    </row>
    <row r="715" spans="1:5" ht="19.5" customHeight="1">
      <c r="A715" s="334"/>
      <c r="B715" s="334"/>
      <c r="C715" s="334"/>
      <c r="D715" s="385"/>
      <c r="E715" s="342"/>
    </row>
    <row r="716" spans="1:5" ht="19.5" customHeight="1">
      <c r="A716" s="334"/>
      <c r="B716" s="334"/>
      <c r="C716" s="334"/>
      <c r="D716" s="385"/>
      <c r="E716" s="342"/>
    </row>
    <row r="717" spans="1:5" ht="19.5" customHeight="1">
      <c r="A717" s="334"/>
      <c r="B717" s="334"/>
      <c r="C717" s="334"/>
      <c r="D717" s="385"/>
      <c r="E717" s="342"/>
    </row>
    <row r="718" spans="1:5" ht="19.5" customHeight="1">
      <c r="A718" s="334"/>
      <c r="B718" s="334"/>
      <c r="C718" s="334"/>
      <c r="D718" s="385"/>
      <c r="E718" s="342"/>
    </row>
    <row r="719" spans="1:5" ht="19.5" customHeight="1">
      <c r="A719" s="334"/>
      <c r="B719" s="334"/>
      <c r="C719" s="334"/>
      <c r="D719" s="385"/>
      <c r="E719" s="342"/>
    </row>
    <row r="720" spans="1:5" ht="19.5" customHeight="1">
      <c r="A720" s="334"/>
      <c r="B720" s="334"/>
      <c r="C720" s="334"/>
      <c r="D720" s="385"/>
      <c r="E720" s="342"/>
    </row>
    <row r="721" spans="1:5" ht="19.5" customHeight="1">
      <c r="A721" s="334"/>
      <c r="B721" s="334"/>
      <c r="C721" s="334"/>
      <c r="D721" s="385"/>
      <c r="E721" s="342"/>
    </row>
    <row r="722" spans="1:5" ht="19.5" customHeight="1">
      <c r="A722" s="334"/>
      <c r="B722" s="334"/>
      <c r="C722" s="334"/>
      <c r="D722" s="385"/>
      <c r="E722" s="342"/>
    </row>
    <row r="723" spans="1:5" ht="19.5" customHeight="1">
      <c r="A723" s="334"/>
      <c r="B723" s="334"/>
      <c r="C723" s="334"/>
      <c r="D723" s="385"/>
      <c r="E723" s="342"/>
    </row>
    <row r="724" spans="1:5" ht="19.5" customHeight="1">
      <c r="A724" s="334"/>
      <c r="B724" s="334"/>
      <c r="C724" s="334"/>
      <c r="D724" s="385"/>
      <c r="E724" s="342"/>
    </row>
    <row r="725" spans="1:5" ht="19.5" customHeight="1">
      <c r="A725" s="334"/>
      <c r="B725" s="334"/>
      <c r="C725" s="334"/>
      <c r="D725" s="385"/>
      <c r="E725" s="342"/>
    </row>
    <row r="726" spans="1:5" ht="19.5" customHeight="1">
      <c r="A726" s="334"/>
      <c r="B726" s="334"/>
      <c r="C726" s="334"/>
      <c r="D726" s="385"/>
      <c r="E726" s="342"/>
    </row>
    <row r="727" spans="1:5" ht="19.5" customHeight="1">
      <c r="A727" s="334"/>
      <c r="B727" s="334"/>
      <c r="C727" s="334"/>
      <c r="D727" s="385"/>
      <c r="E727" s="342"/>
    </row>
    <row r="728" spans="1:5" ht="19.5" customHeight="1">
      <c r="A728" s="334"/>
      <c r="B728" s="334"/>
      <c r="C728" s="334"/>
      <c r="D728" s="385"/>
      <c r="E728" s="342"/>
    </row>
    <row r="729" spans="1:5" ht="19.5" customHeight="1">
      <c r="A729" s="334"/>
      <c r="B729" s="334"/>
      <c r="C729" s="334"/>
      <c r="D729" s="385"/>
      <c r="E729" s="342"/>
    </row>
    <row r="730" spans="1:5" ht="19.5" customHeight="1">
      <c r="A730" s="334"/>
      <c r="B730" s="334"/>
      <c r="C730" s="334"/>
      <c r="D730" s="385"/>
      <c r="E730" s="342"/>
    </row>
    <row r="731" spans="1:5" ht="19.5" customHeight="1">
      <c r="A731" s="334"/>
      <c r="B731" s="334"/>
      <c r="C731" s="334"/>
      <c r="D731" s="385"/>
      <c r="E731" s="342"/>
    </row>
    <row r="732" spans="1:5" ht="19.5" customHeight="1">
      <c r="A732" s="334"/>
      <c r="B732" s="334"/>
      <c r="C732" s="334"/>
      <c r="D732" s="385"/>
      <c r="E732" s="342"/>
    </row>
    <row r="733" spans="1:5" ht="19.5" customHeight="1">
      <c r="A733" s="334"/>
      <c r="B733" s="334"/>
      <c r="C733" s="334"/>
      <c r="D733" s="385"/>
      <c r="E733" s="342"/>
    </row>
    <row r="734" spans="1:5" ht="19.5" customHeight="1">
      <c r="A734" s="334"/>
      <c r="B734" s="334"/>
      <c r="C734" s="334"/>
      <c r="D734" s="385"/>
      <c r="E734" s="342"/>
    </row>
    <row r="735" spans="1:5" ht="19.5" customHeight="1">
      <c r="A735" s="334"/>
      <c r="B735" s="334"/>
      <c r="C735" s="334"/>
      <c r="D735" s="385"/>
      <c r="E735" s="342"/>
    </row>
    <row r="736" spans="1:5" ht="19.5" customHeight="1">
      <c r="A736" s="334"/>
      <c r="B736" s="334"/>
      <c r="C736" s="334"/>
      <c r="D736" s="385"/>
      <c r="E736" s="342"/>
    </row>
    <row r="737" spans="1:5" ht="19.5" customHeight="1">
      <c r="A737" s="334"/>
      <c r="B737" s="334"/>
      <c r="C737" s="334"/>
      <c r="D737" s="385"/>
      <c r="E737" s="342"/>
    </row>
    <row r="738" spans="1:5" ht="19.5" customHeight="1">
      <c r="A738" s="334"/>
      <c r="B738" s="334"/>
      <c r="C738" s="334"/>
      <c r="D738" s="385"/>
      <c r="E738" s="342"/>
    </row>
    <row r="739" spans="1:5" ht="19.5" customHeight="1">
      <c r="A739" s="334"/>
      <c r="B739" s="334"/>
      <c r="C739" s="334"/>
      <c r="D739" s="385"/>
      <c r="E739" s="342"/>
    </row>
    <row r="740" spans="1:5" ht="19.5" customHeight="1">
      <c r="A740" s="334"/>
      <c r="B740" s="334"/>
      <c r="C740" s="334"/>
      <c r="D740" s="385"/>
      <c r="E740" s="342"/>
    </row>
    <row r="741" spans="1:5" ht="19.5" customHeight="1">
      <c r="A741" s="334"/>
      <c r="B741" s="334"/>
      <c r="C741" s="334"/>
      <c r="D741" s="385"/>
      <c r="E741" s="342"/>
    </row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</sheetData>
  <sheetProtection password="CF53" sheet="1" formatRows="0" insertColumns="0" insertRows="0" insertHyperlinks="0" deleteColumns="0" deleteRows="0" sort="0" autoFilter="0" pivotTables="0"/>
  <mergeCells count="8">
    <mergeCell ref="A592:D592"/>
    <mergeCell ref="A421:D421"/>
    <mergeCell ref="E129:E130"/>
    <mergeCell ref="F129:F130"/>
    <mergeCell ref="G129:G130"/>
    <mergeCell ref="F1:G1"/>
    <mergeCell ref="A3:G3"/>
    <mergeCell ref="A7:D7"/>
  </mergeCells>
  <printOptions horizontalCentered="1"/>
  <pageMargins left="0.787401574803149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H28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244" sqref="I244"/>
      <selection pane="bottomLeft" activeCell="I3" sqref="I3"/>
    </sheetView>
  </sheetViews>
  <sheetFormatPr defaultColWidth="9.00390625" defaultRowHeight="12.75"/>
  <cols>
    <col min="1" max="1" width="5.625" style="406" customWidth="1"/>
    <col min="2" max="2" width="6.375" style="406" customWidth="1"/>
    <col min="3" max="3" width="5.125" style="406" customWidth="1"/>
    <col min="4" max="4" width="40.25390625" style="407" customWidth="1"/>
    <col min="5" max="5" width="13.375" style="278" customWidth="1"/>
    <col min="6" max="6" width="13.00390625" style="278" customWidth="1"/>
    <col min="7" max="7" width="6.375" style="386" customWidth="1"/>
    <col min="8" max="8" width="9.125" style="278" customWidth="1"/>
    <col min="9" max="9" width="29.875" style="278" customWidth="1"/>
    <col min="10" max="16384" width="9.125" style="278" customWidth="1"/>
  </cols>
  <sheetData>
    <row r="1" spans="1:7" s="174" customFormat="1" ht="12.75">
      <c r="A1" s="234"/>
      <c r="B1" s="234"/>
      <c r="C1" s="234"/>
      <c r="D1" s="235"/>
      <c r="E1" s="235"/>
      <c r="F1" s="1583" t="s">
        <v>1312</v>
      </c>
      <c r="G1" s="1583"/>
    </row>
    <row r="2" spans="1:7" s="174" customFormat="1" ht="25.5" customHeight="1">
      <c r="A2" s="234"/>
      <c r="B2" s="234"/>
      <c r="C2" s="234"/>
      <c r="E2" s="235"/>
      <c r="G2" s="236"/>
    </row>
    <row r="3" spans="1:7" s="175" customFormat="1" ht="30.75" customHeight="1">
      <c r="A3" s="1620" t="s">
        <v>1313</v>
      </c>
      <c r="B3" s="1620"/>
      <c r="C3" s="1620"/>
      <c r="D3" s="1620"/>
      <c r="E3" s="1620"/>
      <c r="F3" s="1620"/>
      <c r="G3" s="1620"/>
    </row>
    <row r="4" spans="1:7" s="174" customFormat="1" ht="13.5" thickBot="1">
      <c r="A4" s="234"/>
      <c r="B4" s="234"/>
      <c r="C4" s="234"/>
      <c r="D4" s="235"/>
      <c r="G4" s="236"/>
    </row>
    <row r="5" spans="1:7" s="173" customFormat="1" ht="15" customHeight="1">
      <c r="A5" s="237" t="s">
        <v>97</v>
      </c>
      <c r="B5" s="238" t="s">
        <v>1352</v>
      </c>
      <c r="C5" s="238" t="s">
        <v>102</v>
      </c>
      <c r="D5" s="238" t="s">
        <v>1353</v>
      </c>
      <c r="E5" s="239" t="s">
        <v>1354</v>
      </c>
      <c r="F5" s="195" t="s">
        <v>1355</v>
      </c>
      <c r="G5" s="240" t="s">
        <v>1356</v>
      </c>
    </row>
    <row r="6" spans="1:7" s="244" customFormat="1" ht="13.5" customHeight="1" thickBot="1">
      <c r="A6" s="241">
        <v>1</v>
      </c>
      <c r="B6" s="242">
        <v>2</v>
      </c>
      <c r="C6" s="242">
        <v>3</v>
      </c>
      <c r="D6" s="242">
        <v>4</v>
      </c>
      <c r="E6" s="183">
        <v>5</v>
      </c>
      <c r="F6" s="182">
        <v>6</v>
      </c>
      <c r="G6" s="243">
        <v>7</v>
      </c>
    </row>
    <row r="7" spans="1:7" s="246" customFormat="1" ht="22.5" customHeight="1">
      <c r="A7" s="1617" t="s">
        <v>1314</v>
      </c>
      <c r="B7" s="1618"/>
      <c r="C7" s="1618"/>
      <c r="D7" s="1619"/>
      <c r="E7" s="199">
        <f>SUM(E8,E14,E26,E37,E49,E56,E62,E65,E72,E76,E80,E90,E98)</f>
        <v>51659970</v>
      </c>
      <c r="F7" s="199">
        <f>SUM(F8,F14,F26,F37,F49,F56,F62,F65,F72,F76,F80,F90,F98)</f>
        <v>14459360.06</v>
      </c>
      <c r="G7" s="245">
        <f>F7/E7*100</f>
        <v>27.98948597918272</v>
      </c>
    </row>
    <row r="8" spans="1:7" s="274" customFormat="1" ht="18" customHeight="1">
      <c r="A8" s="247" t="s">
        <v>1359</v>
      </c>
      <c r="B8" s="271"/>
      <c r="C8" s="271"/>
      <c r="D8" s="272" t="s">
        <v>103</v>
      </c>
      <c r="E8" s="273">
        <f>SUM(E9)</f>
        <v>15000</v>
      </c>
      <c r="F8" s="273">
        <f>SUM(F9)</f>
        <v>10856.86</v>
      </c>
      <c r="G8" s="251">
        <f>F8/E8*100</f>
        <v>72.37906666666667</v>
      </c>
    </row>
    <row r="9" spans="1:7" ht="21" customHeight="1">
      <c r="A9" s="253"/>
      <c r="B9" s="275" t="s">
        <v>1360</v>
      </c>
      <c r="C9" s="275"/>
      <c r="D9" s="276" t="s">
        <v>1358</v>
      </c>
      <c r="E9" s="277">
        <f>SUM(E10)</f>
        <v>15000</v>
      </c>
      <c r="F9" s="277">
        <f>SUM(F10)</f>
        <v>10856.86</v>
      </c>
      <c r="G9" s="257">
        <f>F9/E9*100</f>
        <v>72.37906666666667</v>
      </c>
    </row>
    <row r="10" spans="1:7" s="269" customFormat="1" ht="21" customHeight="1">
      <c r="A10" s="259"/>
      <c r="B10" s="266"/>
      <c r="C10" s="266" t="s">
        <v>369</v>
      </c>
      <c r="D10" s="270" t="s">
        <v>368</v>
      </c>
      <c r="E10" s="268">
        <f>6DOCHODY!E14</f>
        <v>15000</v>
      </c>
      <c r="F10" s="268">
        <f>6DOCHODY!F14</f>
        <v>10856.86</v>
      </c>
      <c r="G10" s="264">
        <f>F10/E10*100</f>
        <v>72.37906666666667</v>
      </c>
    </row>
    <row r="11" spans="1:7" s="274" customFormat="1" ht="19.5" customHeight="1" hidden="1">
      <c r="A11" s="247" t="s">
        <v>207</v>
      </c>
      <c r="B11" s="271"/>
      <c r="C11" s="271"/>
      <c r="D11" s="272" t="s">
        <v>210</v>
      </c>
      <c r="E11" s="273">
        <f>E13</f>
        <v>0</v>
      </c>
      <c r="F11" s="273">
        <f>F12</f>
        <v>0</v>
      </c>
      <c r="G11" s="264" t="e">
        <f aca="true" t="shared" si="0" ref="G11:G26">F11/E11*100</f>
        <v>#DIV/0!</v>
      </c>
    </row>
    <row r="12" spans="1:7" ht="21.75" customHeight="1" hidden="1">
      <c r="A12" s="253"/>
      <c r="B12" s="275" t="s">
        <v>389</v>
      </c>
      <c r="C12" s="275"/>
      <c r="D12" s="276" t="s">
        <v>390</v>
      </c>
      <c r="E12" s="279">
        <f>E13</f>
        <v>0</v>
      </c>
      <c r="F12" s="277">
        <f>F13</f>
        <v>0</v>
      </c>
      <c r="G12" s="264" t="e">
        <f t="shared" si="0"/>
        <v>#DIV/0!</v>
      </c>
    </row>
    <row r="13" spans="1:7" s="269" customFormat="1" ht="29.25" customHeight="1" hidden="1">
      <c r="A13" s="259"/>
      <c r="B13" s="266"/>
      <c r="C13" s="266" t="s">
        <v>391</v>
      </c>
      <c r="D13" s="270" t="s">
        <v>230</v>
      </c>
      <c r="E13" s="280">
        <v>0</v>
      </c>
      <c r="F13" s="268"/>
      <c r="G13" s="264" t="e">
        <f t="shared" si="0"/>
        <v>#DIV/0!</v>
      </c>
    </row>
    <row r="14" spans="1:7" ht="19.5" customHeight="1">
      <c r="A14" s="247" t="s">
        <v>1414</v>
      </c>
      <c r="B14" s="271"/>
      <c r="C14" s="271"/>
      <c r="D14" s="282" t="s">
        <v>1415</v>
      </c>
      <c r="E14" s="283">
        <f>SUM(E15,E21)</f>
        <v>381805</v>
      </c>
      <c r="F14" s="387">
        <f>SUM(F15,F21)</f>
        <v>2856618.87</v>
      </c>
      <c r="G14" s="294">
        <f t="shared" si="0"/>
        <v>748.1879152970758</v>
      </c>
    </row>
    <row r="15" spans="1:7" ht="19.5" customHeight="1">
      <c r="A15" s="253"/>
      <c r="B15" s="275" t="s">
        <v>1417</v>
      </c>
      <c r="C15" s="275"/>
      <c r="D15" s="255" t="s">
        <v>1418</v>
      </c>
      <c r="E15" s="279">
        <f>SUM(E16,E17,E18,E19)</f>
        <v>381805</v>
      </c>
      <c r="F15" s="279">
        <f>SUM(F16,F17,F18,F19)</f>
        <v>2856618.87</v>
      </c>
      <c r="G15" s="294">
        <f t="shared" si="0"/>
        <v>748.1879152970758</v>
      </c>
    </row>
    <row r="16" spans="1:7" s="269" customFormat="1" ht="20.25" customHeight="1">
      <c r="A16" s="259"/>
      <c r="B16" s="266"/>
      <c r="C16" s="266" t="s">
        <v>369</v>
      </c>
      <c r="D16" s="270" t="s">
        <v>368</v>
      </c>
      <c r="E16" s="268">
        <f>6DOCHODY!E32</f>
        <v>25000</v>
      </c>
      <c r="F16" s="268">
        <f>6DOCHODY!F32</f>
        <v>2295.92</v>
      </c>
      <c r="G16" s="264">
        <f t="shared" si="0"/>
        <v>9.183679999999999</v>
      </c>
    </row>
    <row r="17" spans="1:7" s="269" customFormat="1" ht="20.25" customHeight="1" hidden="1">
      <c r="A17" s="259"/>
      <c r="B17" s="266"/>
      <c r="C17" s="266" t="s">
        <v>385</v>
      </c>
      <c r="D17" s="270" t="s">
        <v>109</v>
      </c>
      <c r="E17" s="268">
        <v>0</v>
      </c>
      <c r="F17" s="268">
        <v>0</v>
      </c>
      <c r="G17" s="264" t="e">
        <f t="shared" si="0"/>
        <v>#DIV/0!</v>
      </c>
    </row>
    <row r="18" spans="1:7" s="269" customFormat="1" ht="53.25" customHeight="1">
      <c r="A18" s="259"/>
      <c r="B18" s="286"/>
      <c r="C18" s="266" t="s">
        <v>441</v>
      </c>
      <c r="D18" s="270" t="s">
        <v>497</v>
      </c>
      <c r="E18" s="263">
        <f>6DOCHODY!E36</f>
        <v>356805</v>
      </c>
      <c r="F18" s="263">
        <f>6DOCHODY!F36</f>
        <v>0</v>
      </c>
      <c r="G18" s="264">
        <f>F18/E18*100</f>
        <v>0</v>
      </c>
    </row>
    <row r="19" spans="1:7" s="269" customFormat="1" ht="54.75" customHeight="1">
      <c r="A19" s="259"/>
      <c r="B19" s="286"/>
      <c r="C19" s="266" t="s">
        <v>1257</v>
      </c>
      <c r="D19" s="270" t="s">
        <v>497</v>
      </c>
      <c r="E19" s="263">
        <f>6DOCHODY!E37</f>
        <v>0</v>
      </c>
      <c r="F19" s="263">
        <f>6DOCHODY!F37</f>
        <v>2854322.95</v>
      </c>
      <c r="G19" s="264" t="s">
        <v>144</v>
      </c>
    </row>
    <row r="20" spans="1:7" s="269" customFormat="1" ht="80.25" customHeight="1">
      <c r="A20" s="259"/>
      <c r="B20" s="286"/>
      <c r="C20" s="266"/>
      <c r="D20" s="262" t="s">
        <v>498</v>
      </c>
      <c r="E20" s="263"/>
      <c r="F20" s="263"/>
      <c r="G20" s="264"/>
    </row>
    <row r="21" spans="1:7" ht="21.75" customHeight="1" hidden="1">
      <c r="A21" s="253"/>
      <c r="B21" s="287" t="s">
        <v>250</v>
      </c>
      <c r="C21" s="275"/>
      <c r="D21" s="255" t="s">
        <v>251</v>
      </c>
      <c r="E21" s="256">
        <f>SUM(E22,E24)</f>
        <v>0</v>
      </c>
      <c r="F21" s="256">
        <f>SUM(F22,F24)</f>
        <v>0</v>
      </c>
      <c r="G21" s="264" t="e">
        <f t="shared" si="0"/>
        <v>#DIV/0!</v>
      </c>
    </row>
    <row r="22" spans="1:7" s="269" customFormat="1" ht="54.75" customHeight="1" hidden="1">
      <c r="A22" s="259"/>
      <c r="B22" s="286"/>
      <c r="C22" s="266" t="s">
        <v>1257</v>
      </c>
      <c r="D22" s="270" t="s">
        <v>497</v>
      </c>
      <c r="E22" s="263"/>
      <c r="F22" s="263"/>
      <c r="G22" s="264" t="e">
        <f t="shared" si="0"/>
        <v>#DIV/0!</v>
      </c>
    </row>
    <row r="23" spans="1:7" s="269" customFormat="1" ht="66.75" customHeight="1" hidden="1">
      <c r="A23" s="259"/>
      <c r="B23" s="286"/>
      <c r="C23" s="266"/>
      <c r="D23" s="262" t="s">
        <v>571</v>
      </c>
      <c r="E23" s="263"/>
      <c r="F23" s="263"/>
      <c r="G23" s="264" t="e">
        <f t="shared" si="0"/>
        <v>#DIV/0!</v>
      </c>
    </row>
    <row r="24" spans="1:7" s="269" customFormat="1" ht="54" customHeight="1" hidden="1">
      <c r="A24" s="259"/>
      <c r="B24" s="286"/>
      <c r="C24" s="266" t="s">
        <v>1200</v>
      </c>
      <c r="D24" s="270" t="s">
        <v>497</v>
      </c>
      <c r="E24" s="263"/>
      <c r="F24" s="263"/>
      <c r="G24" s="264" t="e">
        <f t="shared" si="0"/>
        <v>#DIV/0!</v>
      </c>
    </row>
    <row r="25" spans="1:7" s="269" customFormat="1" ht="66.75" customHeight="1" hidden="1">
      <c r="A25" s="259"/>
      <c r="B25" s="286"/>
      <c r="C25" s="266"/>
      <c r="D25" s="262" t="s">
        <v>577</v>
      </c>
      <c r="E25" s="263"/>
      <c r="F25" s="263"/>
      <c r="G25" s="264" t="e">
        <f t="shared" si="0"/>
        <v>#DIV/0!</v>
      </c>
    </row>
    <row r="26" spans="1:7" s="274" customFormat="1" ht="15" customHeight="1">
      <c r="A26" s="247" t="s">
        <v>1419</v>
      </c>
      <c r="B26" s="271"/>
      <c r="C26" s="271"/>
      <c r="D26" s="282" t="s">
        <v>1420</v>
      </c>
      <c r="E26" s="273">
        <f>SUM(E27,E29)</f>
        <v>1172086</v>
      </c>
      <c r="F26" s="273">
        <f>SUM(F27,F29)</f>
        <v>0</v>
      </c>
      <c r="G26" s="251">
        <f t="shared" si="0"/>
        <v>0</v>
      </c>
    </row>
    <row r="27" spans="1:7" ht="16.5" customHeight="1" hidden="1">
      <c r="A27" s="253"/>
      <c r="B27" s="275" t="s">
        <v>232</v>
      </c>
      <c r="C27" s="275"/>
      <c r="D27" s="255" t="s">
        <v>233</v>
      </c>
      <c r="E27" s="277">
        <f>SUM(E28)</f>
        <v>0</v>
      </c>
      <c r="F27" s="277">
        <f>SUM(F28)</f>
        <v>0</v>
      </c>
      <c r="G27" s="257" t="s">
        <v>144</v>
      </c>
    </row>
    <row r="28" spans="1:7" ht="21" customHeight="1" hidden="1">
      <c r="A28" s="259"/>
      <c r="B28" s="266"/>
      <c r="C28" s="266" t="s">
        <v>369</v>
      </c>
      <c r="D28" s="270" t="s">
        <v>368</v>
      </c>
      <c r="E28" s="268">
        <f>6DOCHODY!E51</f>
        <v>0</v>
      </c>
      <c r="F28" s="268">
        <f>6DOCHODY!F51</f>
        <v>0</v>
      </c>
      <c r="G28" s="264" t="s">
        <v>144</v>
      </c>
    </row>
    <row r="29" spans="1:7" s="269" customFormat="1" ht="18" customHeight="1">
      <c r="A29" s="253"/>
      <c r="B29" s="275" t="s">
        <v>669</v>
      </c>
      <c r="C29" s="275"/>
      <c r="D29" s="255" t="s">
        <v>1358</v>
      </c>
      <c r="E29" s="277">
        <f>SUM(E30,E31,E33,E35)</f>
        <v>1172086</v>
      </c>
      <c r="F29" s="277">
        <f>SUM(F30,F31,F33,F35)</f>
        <v>0</v>
      </c>
      <c r="G29" s="257">
        <f>F29/E29*100</f>
        <v>0</v>
      </c>
    </row>
    <row r="30" spans="1:7" s="269" customFormat="1" ht="29.25" customHeight="1" hidden="1">
      <c r="A30" s="259"/>
      <c r="B30" s="266"/>
      <c r="C30" s="266" t="s">
        <v>386</v>
      </c>
      <c r="D30" s="270" t="s">
        <v>1277</v>
      </c>
      <c r="E30" s="268">
        <v>0</v>
      </c>
      <c r="F30" s="268">
        <v>0</v>
      </c>
      <c r="G30" s="257" t="e">
        <f>F30/E30*100</f>
        <v>#DIV/0!</v>
      </c>
    </row>
    <row r="31" spans="1:7" s="269" customFormat="1" ht="72" customHeight="1">
      <c r="A31" s="259"/>
      <c r="B31" s="266"/>
      <c r="C31" s="260" t="s">
        <v>346</v>
      </c>
      <c r="D31" s="296" t="s">
        <v>348</v>
      </c>
      <c r="E31" s="268">
        <f>6DOCHODY!E59</f>
        <v>1012786</v>
      </c>
      <c r="F31" s="268">
        <f>6DOCHODY!F59</f>
        <v>0</v>
      </c>
      <c r="G31" s="257">
        <f>F31/E31*100</f>
        <v>0</v>
      </c>
    </row>
    <row r="32" spans="1:7" s="269" customFormat="1" ht="30" customHeight="1">
      <c r="A32" s="259"/>
      <c r="B32" s="266"/>
      <c r="C32" s="260"/>
      <c r="D32" s="262" t="s">
        <v>83</v>
      </c>
      <c r="E32" s="268"/>
      <c r="F32" s="268"/>
      <c r="G32" s="257"/>
    </row>
    <row r="33" spans="1:7" s="269" customFormat="1" ht="69.75" customHeight="1">
      <c r="A33" s="259"/>
      <c r="B33" s="266"/>
      <c r="C33" s="260" t="s">
        <v>347</v>
      </c>
      <c r="D33" s="296" t="s">
        <v>348</v>
      </c>
      <c r="E33" s="268">
        <f>6DOCHODY!E61</f>
        <v>159300</v>
      </c>
      <c r="F33" s="268">
        <f>6DOCHODY!F61</f>
        <v>0</v>
      </c>
      <c r="G33" s="257">
        <f>F33/E33*100</f>
        <v>0</v>
      </c>
    </row>
    <row r="34" spans="1:7" s="269" customFormat="1" ht="78" customHeight="1">
      <c r="A34" s="259"/>
      <c r="B34" s="266"/>
      <c r="C34" s="260"/>
      <c r="D34" s="262" t="s">
        <v>320</v>
      </c>
      <c r="E34" s="268"/>
      <c r="F34" s="268"/>
      <c r="G34" s="264"/>
    </row>
    <row r="35" spans="1:7" s="269" customFormat="1" ht="51.75" customHeight="1" hidden="1">
      <c r="A35" s="259"/>
      <c r="B35" s="266"/>
      <c r="C35" s="266" t="s">
        <v>1257</v>
      </c>
      <c r="D35" s="270" t="s">
        <v>497</v>
      </c>
      <c r="E35" s="268">
        <f>6DOCHODY!E63</f>
        <v>0</v>
      </c>
      <c r="F35" s="268">
        <f>6DOCHODY!F63</f>
        <v>0</v>
      </c>
      <c r="G35" s="264" t="e">
        <f>F35/E35*100</f>
        <v>#DIV/0!</v>
      </c>
    </row>
    <row r="36" spans="1:7" s="269" customFormat="1" ht="81" customHeight="1" hidden="1">
      <c r="A36" s="259"/>
      <c r="B36" s="266"/>
      <c r="C36" s="266"/>
      <c r="D36" s="262" t="s">
        <v>498</v>
      </c>
      <c r="E36" s="268"/>
      <c r="F36" s="268"/>
      <c r="G36" s="264"/>
    </row>
    <row r="37" spans="1:7" s="274" customFormat="1" ht="21" customHeight="1">
      <c r="A37" s="247" t="s">
        <v>1421</v>
      </c>
      <c r="B37" s="271"/>
      <c r="C37" s="271"/>
      <c r="D37" s="272" t="s">
        <v>1422</v>
      </c>
      <c r="E37" s="273">
        <f>SUM(E38,E43,E47)</f>
        <v>42892287</v>
      </c>
      <c r="F37" s="273">
        <f>SUM(F38,F43,F47)</f>
        <v>10099795.03</v>
      </c>
      <c r="G37" s="251">
        <f>F37/E37*100</f>
        <v>23.546879255937085</v>
      </c>
    </row>
    <row r="38" spans="1:7" s="274" customFormat="1" ht="21" customHeight="1">
      <c r="A38" s="247"/>
      <c r="B38" s="275" t="s">
        <v>671</v>
      </c>
      <c r="C38" s="275"/>
      <c r="D38" s="276" t="s">
        <v>673</v>
      </c>
      <c r="E38" s="277">
        <f>SUM(E39,E41)</f>
        <v>1009290</v>
      </c>
      <c r="F38" s="277">
        <f>SUM(F39,F41)</f>
        <v>98240</v>
      </c>
      <c r="G38" s="257">
        <f>F38/E38*100</f>
        <v>9.733575087437703</v>
      </c>
    </row>
    <row r="39" spans="1:7" s="274" customFormat="1" ht="68.25" customHeight="1">
      <c r="A39" s="247"/>
      <c r="B39" s="271"/>
      <c r="C39" s="260" t="s">
        <v>346</v>
      </c>
      <c r="D39" s="296" t="s">
        <v>348</v>
      </c>
      <c r="E39" s="268">
        <f>6DOCHODY!E70</f>
        <v>0</v>
      </c>
      <c r="F39" s="268">
        <f>6DOCHODY!F70</f>
        <v>98240</v>
      </c>
      <c r="G39" s="257" t="s">
        <v>144</v>
      </c>
    </row>
    <row r="40" spans="1:7" s="274" customFormat="1" ht="30.75" customHeight="1">
      <c r="A40" s="247"/>
      <c r="B40" s="271"/>
      <c r="C40" s="260"/>
      <c r="D40" s="262" t="s">
        <v>83</v>
      </c>
      <c r="E40" s="268"/>
      <c r="F40" s="268"/>
      <c r="G40" s="257"/>
    </row>
    <row r="41" spans="1:7" s="274" customFormat="1" ht="67.5" customHeight="1">
      <c r="A41" s="247"/>
      <c r="B41" s="271"/>
      <c r="C41" s="266" t="s">
        <v>820</v>
      </c>
      <c r="D41" s="296" t="s">
        <v>348</v>
      </c>
      <c r="E41" s="263">
        <f>6DOCHODY!E72</f>
        <v>1009290</v>
      </c>
      <c r="F41" s="263">
        <f>6DOCHODY!F72</f>
        <v>0</v>
      </c>
      <c r="G41" s="264">
        <f>F41/E41*100</f>
        <v>0</v>
      </c>
    </row>
    <row r="42" spans="1:7" s="274" customFormat="1" ht="66" customHeight="1">
      <c r="A42" s="247"/>
      <c r="B42" s="271"/>
      <c r="C42" s="266"/>
      <c r="D42" s="262" t="s">
        <v>498</v>
      </c>
      <c r="E42" s="263"/>
      <c r="F42" s="263"/>
      <c r="G42" s="264"/>
    </row>
    <row r="43" spans="1:7" ht="21" customHeight="1">
      <c r="A43" s="259"/>
      <c r="B43" s="275" t="s">
        <v>1423</v>
      </c>
      <c r="C43" s="275"/>
      <c r="D43" s="276" t="s">
        <v>1424</v>
      </c>
      <c r="E43" s="277">
        <f>SUM(E44,E45)</f>
        <v>41882997</v>
      </c>
      <c r="F43" s="277">
        <f>SUM(F44,F45)</f>
        <v>10001555.03</v>
      </c>
      <c r="G43" s="257">
        <f>F43/E43*100</f>
        <v>23.879750128673933</v>
      </c>
    </row>
    <row r="44" spans="1:7" s="269" customFormat="1" ht="42" customHeight="1">
      <c r="A44" s="259"/>
      <c r="B44" s="266"/>
      <c r="C44" s="266" t="s">
        <v>394</v>
      </c>
      <c r="D44" s="270" t="s">
        <v>113</v>
      </c>
      <c r="E44" s="268">
        <f>6DOCHODY!E80</f>
        <v>1000000</v>
      </c>
      <c r="F44" s="268">
        <f>6DOCHODY!F80</f>
        <v>1030295.52</v>
      </c>
      <c r="G44" s="264">
        <f>F44/E44*100</f>
        <v>103.029552</v>
      </c>
    </row>
    <row r="45" spans="1:7" s="297" customFormat="1" ht="39" customHeight="1">
      <c r="A45" s="259"/>
      <c r="B45" s="266"/>
      <c r="C45" s="266" t="s">
        <v>395</v>
      </c>
      <c r="D45" s="270" t="s">
        <v>499</v>
      </c>
      <c r="E45" s="268">
        <f>6DOCHODY!E81</f>
        <v>40882997</v>
      </c>
      <c r="F45" s="268">
        <f>6DOCHODY!F81</f>
        <v>8971259.51</v>
      </c>
      <c r="G45" s="264">
        <f>F45/E45*100</f>
        <v>21.943742309302813</v>
      </c>
    </row>
    <row r="46" spans="1:7" s="269" customFormat="1" ht="14.25" customHeight="1" hidden="1">
      <c r="A46" s="288"/>
      <c r="B46" s="289"/>
      <c r="C46" s="261">
        <v>6290</v>
      </c>
      <c r="D46" s="270" t="s">
        <v>497</v>
      </c>
      <c r="E46" s="291">
        <v>0</v>
      </c>
      <c r="F46" s="291">
        <v>0</v>
      </c>
      <c r="G46" s="264" t="e">
        <f>F46/E46*100</f>
        <v>#DIV/0!</v>
      </c>
    </row>
    <row r="47" spans="1:8" s="269" customFormat="1" ht="21" customHeight="1" hidden="1">
      <c r="A47" s="298"/>
      <c r="B47" s="309" t="s">
        <v>674</v>
      </c>
      <c r="C47" s="309"/>
      <c r="D47" s="310" t="s">
        <v>1358</v>
      </c>
      <c r="E47" s="302">
        <f>E48</f>
        <v>0</v>
      </c>
      <c r="F47" s="302">
        <f>F48</f>
        <v>0</v>
      </c>
      <c r="G47" s="264" t="s">
        <v>144</v>
      </c>
      <c r="H47" s="278"/>
    </row>
    <row r="48" spans="1:7" s="269" customFormat="1" ht="54" customHeight="1" hidden="1">
      <c r="A48" s="288"/>
      <c r="B48" s="289"/>
      <c r="C48" s="261">
        <v>6290</v>
      </c>
      <c r="D48" s="270" t="s">
        <v>497</v>
      </c>
      <c r="E48" s="291">
        <f>6DOCHODY!E90</f>
        <v>0</v>
      </c>
      <c r="F48" s="291">
        <f>6DOCHODY!F90</f>
        <v>0</v>
      </c>
      <c r="G48" s="264" t="s">
        <v>144</v>
      </c>
    </row>
    <row r="49" spans="1:7" s="269" customFormat="1" ht="24" customHeight="1" hidden="1">
      <c r="A49" s="303" t="s">
        <v>1437</v>
      </c>
      <c r="B49" s="304"/>
      <c r="C49" s="304"/>
      <c r="D49" s="306" t="s">
        <v>1438</v>
      </c>
      <c r="E49" s="284">
        <f>SUM(E50,E52)</f>
        <v>0</v>
      </c>
      <c r="F49" s="284">
        <f>SUM(F50,F52)</f>
        <v>0</v>
      </c>
      <c r="G49" s="251" t="s">
        <v>144</v>
      </c>
    </row>
    <row r="50" spans="1:8" s="269" customFormat="1" ht="21" customHeight="1" hidden="1">
      <c r="A50" s="298"/>
      <c r="B50" s="309" t="s">
        <v>1448</v>
      </c>
      <c r="C50" s="309"/>
      <c r="D50" s="310" t="s">
        <v>219</v>
      </c>
      <c r="E50" s="302">
        <f>E51</f>
        <v>0</v>
      </c>
      <c r="F50" s="302">
        <f>F51</f>
        <v>0</v>
      </c>
      <c r="G50" s="257" t="s">
        <v>144</v>
      </c>
      <c r="H50" s="278"/>
    </row>
    <row r="51" spans="1:7" s="269" customFormat="1" ht="22.5" customHeight="1" hidden="1">
      <c r="A51" s="288"/>
      <c r="B51" s="289"/>
      <c r="C51" s="290" t="s">
        <v>369</v>
      </c>
      <c r="D51" s="262" t="s">
        <v>368</v>
      </c>
      <c r="E51" s="291">
        <f>6DOCHODY!E109</f>
        <v>0</v>
      </c>
      <c r="F51" s="291">
        <f>6DOCHODY!F109</f>
        <v>0</v>
      </c>
      <c r="G51" s="264" t="s">
        <v>144</v>
      </c>
    </row>
    <row r="52" spans="1:7" ht="19.5" customHeight="1" hidden="1">
      <c r="A52" s="298"/>
      <c r="B52" s="299" t="s">
        <v>1450</v>
      </c>
      <c r="C52" s="316"/>
      <c r="D52" s="301" t="s">
        <v>1358</v>
      </c>
      <c r="E52" s="302">
        <f>SUM(E53,E55)</f>
        <v>0</v>
      </c>
      <c r="F52" s="302">
        <f>SUM(F53,F55)</f>
        <v>0</v>
      </c>
      <c r="G52" s="257" t="s">
        <v>144</v>
      </c>
    </row>
    <row r="53" spans="1:7" s="269" customFormat="1" ht="66" customHeight="1" hidden="1">
      <c r="A53" s="288"/>
      <c r="B53" s="289"/>
      <c r="C53" s="290" t="s">
        <v>346</v>
      </c>
      <c r="D53" s="296" t="s">
        <v>348</v>
      </c>
      <c r="E53" s="291">
        <f>6DOCHODY!E131</f>
        <v>0</v>
      </c>
      <c r="F53" s="291">
        <f>6DOCHODY!F131</f>
        <v>0</v>
      </c>
      <c r="G53" s="264" t="s">
        <v>144</v>
      </c>
    </row>
    <row r="54" spans="1:7" s="269" customFormat="1" ht="30.75" customHeight="1" hidden="1">
      <c r="A54" s="288"/>
      <c r="B54" s="289"/>
      <c r="C54" s="290"/>
      <c r="D54" s="296" t="s">
        <v>83</v>
      </c>
      <c r="E54" s="291"/>
      <c r="F54" s="291"/>
      <c r="G54" s="264"/>
    </row>
    <row r="55" spans="1:7" s="269" customFormat="1" ht="54.75" customHeight="1" hidden="1">
      <c r="A55" s="288"/>
      <c r="B55" s="289"/>
      <c r="C55" s="290" t="s">
        <v>441</v>
      </c>
      <c r="D55" s="270" t="s">
        <v>497</v>
      </c>
      <c r="E55" s="291"/>
      <c r="F55" s="291"/>
      <c r="G55" s="264" t="e">
        <f>F55/E55*100</f>
        <v>#DIV/0!</v>
      </c>
    </row>
    <row r="56" spans="1:7" ht="33.75" customHeight="1" hidden="1">
      <c r="A56" s="303" t="s">
        <v>1452</v>
      </c>
      <c r="B56" s="304"/>
      <c r="C56" s="304"/>
      <c r="D56" s="319" t="s">
        <v>48</v>
      </c>
      <c r="E56" s="284">
        <f>E57</f>
        <v>0</v>
      </c>
      <c r="F56" s="284">
        <f>F57</f>
        <v>0</v>
      </c>
      <c r="G56" s="251" t="e">
        <f>F56/E56*100</f>
        <v>#DIV/0!</v>
      </c>
    </row>
    <row r="57" spans="1:7" ht="21" customHeight="1" hidden="1">
      <c r="A57" s="298"/>
      <c r="B57" s="309" t="s">
        <v>683</v>
      </c>
      <c r="C57" s="309"/>
      <c r="D57" s="310" t="s">
        <v>684</v>
      </c>
      <c r="E57" s="302">
        <f>SUM(E58,E60)</f>
        <v>0</v>
      </c>
      <c r="F57" s="302">
        <f>SUM(F58,F60)</f>
        <v>0</v>
      </c>
      <c r="G57" s="257" t="e">
        <f>F57/E57*100</f>
        <v>#DIV/0!</v>
      </c>
    </row>
    <row r="58" spans="1:7" s="269" customFormat="1" ht="67.5" customHeight="1" hidden="1">
      <c r="A58" s="323"/>
      <c r="B58" s="324"/>
      <c r="C58" s="289" t="s">
        <v>346</v>
      </c>
      <c r="D58" s="296" t="s">
        <v>348</v>
      </c>
      <c r="E58" s="291">
        <f>6DOCHODY!E145</f>
        <v>0</v>
      </c>
      <c r="F58" s="291">
        <f>6DOCHODY!F145</f>
        <v>0</v>
      </c>
      <c r="G58" s="264" t="e">
        <f>F58/E58*100</f>
        <v>#DIV/0!</v>
      </c>
    </row>
    <row r="59" spans="1:7" s="269" customFormat="1" ht="27" customHeight="1" hidden="1">
      <c r="A59" s="323"/>
      <c r="B59" s="324"/>
      <c r="C59" s="289"/>
      <c r="D59" s="262" t="s">
        <v>83</v>
      </c>
      <c r="E59" s="291"/>
      <c r="F59" s="291"/>
      <c r="G59" s="264"/>
    </row>
    <row r="60" spans="1:7" s="269" customFormat="1" ht="56.25" customHeight="1" hidden="1">
      <c r="A60" s="323"/>
      <c r="B60" s="324"/>
      <c r="C60" s="289" t="s">
        <v>349</v>
      </c>
      <c r="D60" s="270" t="s">
        <v>497</v>
      </c>
      <c r="E60" s="291">
        <f>6DOCHODY!E147</f>
        <v>0</v>
      </c>
      <c r="F60" s="291">
        <f>6DOCHODY!F147</f>
        <v>0</v>
      </c>
      <c r="G60" s="264" t="e">
        <f>F60/E60*100</f>
        <v>#DIV/0!</v>
      </c>
    </row>
    <row r="61" spans="1:7" s="269" customFormat="1" ht="30.75" customHeight="1" hidden="1">
      <c r="A61" s="323"/>
      <c r="B61" s="324"/>
      <c r="C61" s="289"/>
      <c r="D61" s="262" t="s">
        <v>83</v>
      </c>
      <c r="E61" s="291"/>
      <c r="F61" s="291"/>
      <c r="G61" s="264"/>
    </row>
    <row r="62" spans="1:7" s="274" customFormat="1" ht="19.5" customHeight="1" hidden="1">
      <c r="A62" s="303" t="s">
        <v>765</v>
      </c>
      <c r="B62" s="304"/>
      <c r="C62" s="304"/>
      <c r="D62" s="306" t="s">
        <v>1458</v>
      </c>
      <c r="E62" s="284">
        <f>SUM(E63)</f>
        <v>0</v>
      </c>
      <c r="F62" s="284">
        <f>SUM(F63)</f>
        <v>0</v>
      </c>
      <c r="G62" s="251" t="s">
        <v>144</v>
      </c>
    </row>
    <row r="63" spans="1:7" ht="19.5" customHeight="1" hidden="1">
      <c r="A63" s="298"/>
      <c r="B63" s="299" t="s">
        <v>152</v>
      </c>
      <c r="C63" s="299"/>
      <c r="D63" s="307" t="s">
        <v>153</v>
      </c>
      <c r="E63" s="302">
        <f>SUM(E64)</f>
        <v>0</v>
      </c>
      <c r="F63" s="302">
        <f>SUM(F64)</f>
        <v>0</v>
      </c>
      <c r="G63" s="257" t="s">
        <v>144</v>
      </c>
    </row>
    <row r="64" spans="1:7" s="269" customFormat="1" ht="42.75" customHeight="1" hidden="1">
      <c r="A64" s="288"/>
      <c r="B64" s="289"/>
      <c r="C64" s="290" t="s">
        <v>1239</v>
      </c>
      <c r="D64" s="262" t="s">
        <v>1240</v>
      </c>
      <c r="E64" s="291">
        <f>6DOCHODY!E214</f>
        <v>0</v>
      </c>
      <c r="F64" s="291">
        <f>6DOCHODY!F214</f>
        <v>0</v>
      </c>
      <c r="G64" s="264" t="s">
        <v>144</v>
      </c>
    </row>
    <row r="65" spans="1:7" s="274" customFormat="1" ht="18.75" customHeight="1">
      <c r="A65" s="303" t="s">
        <v>1459</v>
      </c>
      <c r="B65" s="304"/>
      <c r="C65" s="304"/>
      <c r="D65" s="306" t="s">
        <v>1460</v>
      </c>
      <c r="E65" s="284">
        <f>SUM(E66)</f>
        <v>1713945</v>
      </c>
      <c r="F65" s="284">
        <f>SUM(F66)</f>
        <v>294720.65</v>
      </c>
      <c r="G65" s="251">
        <f>F65/E65*100</f>
        <v>17.195455513449968</v>
      </c>
    </row>
    <row r="66" spans="1:7" ht="18.75" customHeight="1">
      <c r="A66" s="298"/>
      <c r="B66" s="299" t="s">
        <v>1461</v>
      </c>
      <c r="C66" s="299"/>
      <c r="D66" s="307" t="s">
        <v>1462</v>
      </c>
      <c r="E66" s="302">
        <f>SUM(E67,E69,E71)</f>
        <v>1713945</v>
      </c>
      <c r="F66" s="302">
        <f>SUM(F67,F69,F71)</f>
        <v>294720.65</v>
      </c>
      <c r="G66" s="264">
        <f>F66/E66*100</f>
        <v>17.195455513449968</v>
      </c>
    </row>
    <row r="67" spans="1:7" ht="65.25" customHeight="1">
      <c r="A67" s="298"/>
      <c r="B67" s="299"/>
      <c r="C67" s="260" t="s">
        <v>346</v>
      </c>
      <c r="D67" s="296" t="s">
        <v>348</v>
      </c>
      <c r="E67" s="268">
        <f>6DOCHODY!E219</f>
        <v>0</v>
      </c>
      <c r="F67" s="268">
        <f>6DOCHODY!F219</f>
        <v>262795.65</v>
      </c>
      <c r="G67" s="257" t="s">
        <v>144</v>
      </c>
    </row>
    <row r="68" spans="1:7" ht="31.5" customHeight="1">
      <c r="A68" s="298"/>
      <c r="B68" s="299"/>
      <c r="C68" s="260"/>
      <c r="D68" s="262" t="s">
        <v>83</v>
      </c>
      <c r="E68" s="268"/>
      <c r="F68" s="268"/>
      <c r="G68" s="257"/>
    </row>
    <row r="69" spans="1:7" s="269" customFormat="1" ht="52.5" customHeight="1">
      <c r="A69" s="288"/>
      <c r="B69" s="289"/>
      <c r="C69" s="289" t="s">
        <v>1257</v>
      </c>
      <c r="D69" s="270" t="s">
        <v>497</v>
      </c>
      <c r="E69" s="291">
        <f>6DOCHODY!E221</f>
        <v>1650095</v>
      </c>
      <c r="F69" s="291">
        <f>6DOCHODY!F221</f>
        <v>0</v>
      </c>
      <c r="G69" s="264">
        <f>F69/E69*100</f>
        <v>0</v>
      </c>
    </row>
    <row r="70" spans="1:7" s="269" customFormat="1" ht="78" customHeight="1">
      <c r="A70" s="288"/>
      <c r="B70" s="289"/>
      <c r="C70" s="289"/>
      <c r="D70" s="262" t="s">
        <v>498</v>
      </c>
      <c r="E70" s="291"/>
      <c r="F70" s="291"/>
      <c r="G70" s="264"/>
    </row>
    <row r="71" spans="1:7" s="269" customFormat="1" ht="47.25" customHeight="1">
      <c r="A71" s="288"/>
      <c r="B71" s="289"/>
      <c r="C71" s="290" t="s">
        <v>436</v>
      </c>
      <c r="D71" s="262" t="s">
        <v>243</v>
      </c>
      <c r="E71" s="291">
        <f>6DOCHODY!E223</f>
        <v>63850</v>
      </c>
      <c r="F71" s="291">
        <f>6DOCHODY!F223</f>
        <v>31925</v>
      </c>
      <c r="G71" s="264">
        <f>F71/E71*100</f>
        <v>50</v>
      </c>
    </row>
    <row r="72" spans="1:7" s="269" customFormat="1" ht="21" customHeight="1" hidden="1">
      <c r="A72" s="303" t="s">
        <v>1468</v>
      </c>
      <c r="B72" s="304"/>
      <c r="C72" s="305"/>
      <c r="D72" s="306" t="s">
        <v>1469</v>
      </c>
      <c r="E72" s="284">
        <f>SUM(E73)</f>
        <v>0</v>
      </c>
      <c r="F72" s="284">
        <f>SUM(F73)</f>
        <v>0</v>
      </c>
      <c r="G72" s="251" t="e">
        <f aca="true" t="shared" si="1" ref="G72:G78">F72/E72*100</f>
        <v>#DIV/0!</v>
      </c>
    </row>
    <row r="73" spans="1:7" s="269" customFormat="1" ht="23.25" customHeight="1" hidden="1">
      <c r="A73" s="288"/>
      <c r="B73" s="309" t="s">
        <v>1470</v>
      </c>
      <c r="C73" s="330"/>
      <c r="D73" s="310" t="s">
        <v>1471</v>
      </c>
      <c r="E73" s="302">
        <f>SUM(E74)</f>
        <v>0</v>
      </c>
      <c r="F73" s="302">
        <f>SUM(F74)</f>
        <v>0</v>
      </c>
      <c r="G73" s="257" t="e">
        <f t="shared" si="1"/>
        <v>#DIV/0!</v>
      </c>
    </row>
    <row r="74" spans="1:7" s="269" customFormat="1" ht="54.75" customHeight="1" hidden="1">
      <c r="A74" s="288"/>
      <c r="B74" s="289"/>
      <c r="C74" s="313" t="s">
        <v>1257</v>
      </c>
      <c r="D74" s="270" t="s">
        <v>497</v>
      </c>
      <c r="E74" s="291">
        <f>6DOCHODY!E262</f>
        <v>0</v>
      </c>
      <c r="F74" s="291">
        <f>6DOCHODY!F262</f>
        <v>0</v>
      </c>
      <c r="G74" s="264" t="e">
        <f t="shared" si="1"/>
        <v>#DIV/0!</v>
      </c>
    </row>
    <row r="75" spans="1:7" s="269" customFormat="1" ht="78.75" customHeight="1" hidden="1">
      <c r="A75" s="288"/>
      <c r="B75" s="289"/>
      <c r="C75" s="313"/>
      <c r="D75" s="262" t="s">
        <v>498</v>
      </c>
      <c r="E75" s="291"/>
      <c r="F75" s="291"/>
      <c r="G75" s="264"/>
    </row>
    <row r="76" spans="1:7" s="269" customFormat="1" ht="33" customHeight="1" hidden="1">
      <c r="A76" s="303" t="s">
        <v>1472</v>
      </c>
      <c r="B76" s="304"/>
      <c r="C76" s="343"/>
      <c r="D76" s="319" t="s">
        <v>746</v>
      </c>
      <c r="E76" s="284">
        <f>SUM(E77)</f>
        <v>0</v>
      </c>
      <c r="F76" s="284">
        <f>SUM(F77)</f>
        <v>0</v>
      </c>
      <c r="G76" s="251" t="e">
        <f t="shared" si="1"/>
        <v>#DIV/0!</v>
      </c>
    </row>
    <row r="77" spans="1:7" s="269" customFormat="1" ht="26.25" customHeight="1" hidden="1">
      <c r="A77" s="288"/>
      <c r="B77" s="299" t="s">
        <v>750</v>
      </c>
      <c r="C77" s="316"/>
      <c r="D77" s="255" t="s">
        <v>1358</v>
      </c>
      <c r="E77" s="291">
        <f>SUM(E78)</f>
        <v>0</v>
      </c>
      <c r="F77" s="291">
        <f>SUM(F78)</f>
        <v>0</v>
      </c>
      <c r="G77" s="257" t="e">
        <f t="shared" si="1"/>
        <v>#DIV/0!</v>
      </c>
    </row>
    <row r="78" spans="1:7" s="269" customFormat="1" ht="54" customHeight="1" hidden="1">
      <c r="A78" s="288"/>
      <c r="B78" s="289"/>
      <c r="C78" s="313" t="s">
        <v>1257</v>
      </c>
      <c r="D78" s="270" t="s">
        <v>497</v>
      </c>
      <c r="E78" s="291">
        <f>6DOCHODY!E345</f>
        <v>0</v>
      </c>
      <c r="F78" s="291">
        <f>6DOCHODY!F345</f>
        <v>0</v>
      </c>
      <c r="G78" s="264" t="e">
        <f t="shared" si="1"/>
        <v>#DIV/0!</v>
      </c>
    </row>
    <row r="79" spans="1:7" s="269" customFormat="1" ht="76.5" customHeight="1" hidden="1">
      <c r="A79" s="288"/>
      <c r="B79" s="289"/>
      <c r="C79" s="313"/>
      <c r="D79" s="262" t="s">
        <v>498</v>
      </c>
      <c r="E79" s="291"/>
      <c r="F79" s="291"/>
      <c r="G79" s="264"/>
    </row>
    <row r="80" spans="1:7" s="269" customFormat="1" ht="29.25" customHeight="1">
      <c r="A80" s="303" t="s">
        <v>53</v>
      </c>
      <c r="B80" s="304"/>
      <c r="C80" s="304"/>
      <c r="D80" s="319" t="s">
        <v>157</v>
      </c>
      <c r="E80" s="284">
        <f>SUM(E81,E86)</f>
        <v>5484847</v>
      </c>
      <c r="F80" s="284">
        <f>SUM(F81,F86)</f>
        <v>1083211.51</v>
      </c>
      <c r="G80" s="251">
        <f>F80/E80*100</f>
        <v>19.749165473530987</v>
      </c>
    </row>
    <row r="81" spans="1:7" ht="18" customHeight="1">
      <c r="A81" s="298"/>
      <c r="B81" s="299" t="s">
        <v>1001</v>
      </c>
      <c r="C81" s="316"/>
      <c r="D81" s="301" t="s">
        <v>1002</v>
      </c>
      <c r="E81" s="302">
        <f>SUM(E82,E84)</f>
        <v>4485847</v>
      </c>
      <c r="F81" s="302">
        <f>SUM(F82,F84)</f>
        <v>83750.35</v>
      </c>
      <c r="G81" s="257">
        <f>F81/E81*100</f>
        <v>1.8669907823427774</v>
      </c>
    </row>
    <row r="82" spans="1:7" s="269" customFormat="1" ht="67.5" customHeight="1">
      <c r="A82" s="323"/>
      <c r="B82" s="324"/>
      <c r="C82" s="289" t="s">
        <v>346</v>
      </c>
      <c r="D82" s="296" t="s">
        <v>348</v>
      </c>
      <c r="E82" s="291">
        <f>6DOCHODY!E359</f>
        <v>0</v>
      </c>
      <c r="F82" s="291">
        <f>6DOCHODY!F359</f>
        <v>83750.35</v>
      </c>
      <c r="G82" s="264" t="s">
        <v>144</v>
      </c>
    </row>
    <row r="83" spans="1:7" s="269" customFormat="1" ht="27" customHeight="1">
      <c r="A83" s="288"/>
      <c r="B83" s="289"/>
      <c r="C83" s="290"/>
      <c r="D83" s="262" t="s">
        <v>83</v>
      </c>
      <c r="E83" s="291"/>
      <c r="F83" s="291"/>
      <c r="G83" s="264"/>
    </row>
    <row r="84" spans="1:7" ht="53.25" customHeight="1">
      <c r="A84" s="288"/>
      <c r="B84" s="289"/>
      <c r="C84" s="290" t="s">
        <v>1257</v>
      </c>
      <c r="D84" s="270" t="s">
        <v>497</v>
      </c>
      <c r="E84" s="291">
        <f>6DOCHODY!E362</f>
        <v>4485847</v>
      </c>
      <c r="F84" s="291">
        <f>6DOCHODY!F362</f>
        <v>0</v>
      </c>
      <c r="G84" s="264">
        <f>F84/E84*100</f>
        <v>0</v>
      </c>
    </row>
    <row r="85" spans="1:7" ht="81" customHeight="1">
      <c r="A85" s="288"/>
      <c r="B85" s="289"/>
      <c r="C85" s="290"/>
      <c r="D85" s="262" t="s">
        <v>498</v>
      </c>
      <c r="E85" s="291"/>
      <c r="F85" s="291"/>
      <c r="G85" s="264"/>
    </row>
    <row r="86" spans="1:7" ht="20.25" customHeight="1">
      <c r="A86" s="346"/>
      <c r="B86" s="336" t="s">
        <v>57</v>
      </c>
      <c r="C86" s="336"/>
      <c r="D86" s="347" t="s">
        <v>1358</v>
      </c>
      <c r="E86" s="302">
        <f>SUM(E87,E88)</f>
        <v>999000</v>
      </c>
      <c r="F86" s="302">
        <f>SUM(F87,F88)</f>
        <v>999461.16</v>
      </c>
      <c r="G86" s="294">
        <f>F86/E86*100</f>
        <v>100.04616216216216</v>
      </c>
    </row>
    <row r="87" spans="1:7" s="269" customFormat="1" ht="21.75" customHeight="1">
      <c r="A87" s="288"/>
      <c r="B87" s="289"/>
      <c r="C87" s="290" t="s">
        <v>369</v>
      </c>
      <c r="D87" s="262" t="s">
        <v>368</v>
      </c>
      <c r="E87" s="291">
        <f>6DOCHODY!E380</f>
        <v>0</v>
      </c>
      <c r="F87" s="291">
        <f>6DOCHODY!F380</f>
        <v>335.16</v>
      </c>
      <c r="G87" s="264" t="s">
        <v>144</v>
      </c>
    </row>
    <row r="88" spans="1:7" s="342" customFormat="1" ht="55.5" customHeight="1">
      <c r="A88" s="312"/>
      <c r="B88" s="313"/>
      <c r="C88" s="289" t="s">
        <v>1257</v>
      </c>
      <c r="D88" s="270" t="s">
        <v>497</v>
      </c>
      <c r="E88" s="315">
        <f>6DOCHODY!E383</f>
        <v>999000</v>
      </c>
      <c r="F88" s="315">
        <f>6DOCHODY!F383</f>
        <v>999126</v>
      </c>
      <c r="G88" s="294">
        <f>F88/E88*100</f>
        <v>100.0126126126126</v>
      </c>
    </row>
    <row r="89" spans="1:7" s="342" customFormat="1" ht="81.75" customHeight="1">
      <c r="A89" s="312"/>
      <c r="B89" s="313"/>
      <c r="C89" s="289"/>
      <c r="D89" s="262" t="s">
        <v>498</v>
      </c>
      <c r="E89" s="315"/>
      <c r="F89" s="315"/>
      <c r="G89" s="294"/>
    </row>
    <row r="90" spans="1:7" s="274" customFormat="1" ht="27.75" customHeight="1">
      <c r="A90" s="303" t="s">
        <v>90</v>
      </c>
      <c r="B90" s="304"/>
      <c r="C90" s="304"/>
      <c r="D90" s="319" t="s">
        <v>1011</v>
      </c>
      <c r="E90" s="284">
        <f>SUM(E91,E96)</f>
        <v>0</v>
      </c>
      <c r="F90" s="284">
        <f>SUM(F91,F96)</f>
        <v>114157.14</v>
      </c>
      <c r="G90" s="251" t="s">
        <v>144</v>
      </c>
    </row>
    <row r="91" spans="1:7" ht="21.75" customHeight="1">
      <c r="A91" s="298"/>
      <c r="B91" s="299" t="s">
        <v>473</v>
      </c>
      <c r="C91" s="299"/>
      <c r="D91" s="307" t="s">
        <v>474</v>
      </c>
      <c r="E91" s="302">
        <f>SUM(E92,E94)</f>
        <v>0</v>
      </c>
      <c r="F91" s="302">
        <f>SUM(F92,F94)</f>
        <v>114157.14</v>
      </c>
      <c r="G91" s="264" t="s">
        <v>144</v>
      </c>
    </row>
    <row r="92" spans="1:7" s="269" customFormat="1" ht="67.5" customHeight="1">
      <c r="A92" s="323"/>
      <c r="B92" s="324"/>
      <c r="C92" s="289" t="s">
        <v>346</v>
      </c>
      <c r="D92" s="296" t="s">
        <v>348</v>
      </c>
      <c r="E92" s="291">
        <f>6DOCHODY!E395</f>
        <v>0</v>
      </c>
      <c r="F92" s="291">
        <f>6DOCHODY!F395</f>
        <v>114157.14</v>
      </c>
      <c r="G92" s="264" t="s">
        <v>144</v>
      </c>
    </row>
    <row r="93" spans="1:7" s="269" customFormat="1" ht="27" customHeight="1">
      <c r="A93" s="288"/>
      <c r="B93" s="289"/>
      <c r="C93" s="290"/>
      <c r="D93" s="262" t="s">
        <v>83</v>
      </c>
      <c r="E93" s="291"/>
      <c r="F93" s="291"/>
      <c r="G93" s="264"/>
    </row>
    <row r="94" spans="1:7" ht="53.25" customHeight="1" hidden="1">
      <c r="A94" s="288"/>
      <c r="B94" s="289"/>
      <c r="C94" s="290" t="s">
        <v>1257</v>
      </c>
      <c r="D94" s="270" t="s">
        <v>497</v>
      </c>
      <c r="E94" s="291">
        <f>6DOCHODY!E397</f>
        <v>0</v>
      </c>
      <c r="F94" s="291">
        <f>6DOCHODY!F397</f>
        <v>0</v>
      </c>
      <c r="G94" s="264" t="e">
        <f>F94/E94*100</f>
        <v>#DIV/0!</v>
      </c>
    </row>
    <row r="95" spans="1:7" ht="66" customHeight="1" hidden="1">
      <c r="A95" s="288"/>
      <c r="B95" s="289"/>
      <c r="C95" s="290"/>
      <c r="D95" s="262" t="s">
        <v>498</v>
      </c>
      <c r="E95" s="291"/>
      <c r="F95" s="291"/>
      <c r="G95" s="264"/>
    </row>
    <row r="96" spans="1:7" ht="21.75" customHeight="1" hidden="1">
      <c r="A96" s="298"/>
      <c r="B96" s="299" t="s">
        <v>1018</v>
      </c>
      <c r="C96" s="299"/>
      <c r="D96" s="307" t="s">
        <v>1358</v>
      </c>
      <c r="E96" s="302">
        <f>SUM(E97)</f>
        <v>0</v>
      </c>
      <c r="F96" s="302">
        <f>SUM(F97)</f>
        <v>0</v>
      </c>
      <c r="G96" s="264" t="e">
        <f>F96/E96*100</f>
        <v>#DIV/0!</v>
      </c>
    </row>
    <row r="97" spans="1:7" s="269" customFormat="1" ht="66" customHeight="1" hidden="1">
      <c r="A97" s="288"/>
      <c r="B97" s="289"/>
      <c r="C97" s="289" t="s">
        <v>990</v>
      </c>
      <c r="D97" s="262" t="s">
        <v>356</v>
      </c>
      <c r="E97" s="291">
        <f>6DOCHODY!E404</f>
        <v>0</v>
      </c>
      <c r="F97" s="291">
        <f>6DOCHODY!F404</f>
        <v>0</v>
      </c>
      <c r="G97" s="264" t="e">
        <f>F97/E97*100</f>
        <v>#DIV/0!</v>
      </c>
    </row>
    <row r="98" spans="1:7" ht="21" customHeight="1" hidden="1">
      <c r="A98" s="303" t="s">
        <v>91</v>
      </c>
      <c r="B98" s="304"/>
      <c r="C98" s="343"/>
      <c r="D98" s="319" t="s">
        <v>81</v>
      </c>
      <c r="E98" s="284">
        <f>SUM(E99)</f>
        <v>0</v>
      </c>
      <c r="F98" s="284">
        <f>SUM(F99)</f>
        <v>0</v>
      </c>
      <c r="G98" s="251" t="e">
        <f>F98/E98*100</f>
        <v>#DIV/0!</v>
      </c>
    </row>
    <row r="99" spans="1:7" s="269" customFormat="1" ht="18" customHeight="1" hidden="1">
      <c r="A99" s="298"/>
      <c r="B99" s="299" t="s">
        <v>94</v>
      </c>
      <c r="C99" s="316"/>
      <c r="D99" s="301" t="s">
        <v>95</v>
      </c>
      <c r="E99" s="302">
        <f>SUM(E100)</f>
        <v>0</v>
      </c>
      <c r="F99" s="302">
        <f>SUM(F100)</f>
        <v>0</v>
      </c>
      <c r="G99" s="257" t="e">
        <f>F99/E99*100</f>
        <v>#DIV/0!</v>
      </c>
    </row>
    <row r="100" spans="1:7" ht="54.75" customHeight="1" hidden="1">
      <c r="A100" s="288"/>
      <c r="B100" s="289"/>
      <c r="C100" s="290" t="s">
        <v>1257</v>
      </c>
      <c r="D100" s="270" t="s">
        <v>497</v>
      </c>
      <c r="E100" s="291"/>
      <c r="F100" s="291"/>
      <c r="G100" s="264" t="e">
        <f>F100/E100*100</f>
        <v>#DIV/0!</v>
      </c>
    </row>
    <row r="101" spans="1:7" ht="81" customHeight="1" hidden="1">
      <c r="A101" s="288"/>
      <c r="B101" s="289"/>
      <c r="C101" s="290"/>
      <c r="D101" s="262" t="s">
        <v>498</v>
      </c>
      <c r="E101" s="291"/>
      <c r="F101" s="291"/>
      <c r="G101" s="264"/>
    </row>
    <row r="102" spans="1:7" ht="21.75" customHeight="1" hidden="1">
      <c r="A102" s="298"/>
      <c r="B102" s="336" t="s">
        <v>992</v>
      </c>
      <c r="C102" s="394"/>
      <c r="D102" s="395" t="s">
        <v>1358</v>
      </c>
      <c r="E102" s="339">
        <f>SUM(E103)</f>
        <v>0</v>
      </c>
      <c r="F102" s="339">
        <f>SUM(F103)</f>
        <v>0</v>
      </c>
      <c r="G102" s="281" t="e">
        <f aca="true" t="shared" si="2" ref="G102:G108">F102/E102*100</f>
        <v>#DIV/0!</v>
      </c>
    </row>
    <row r="103" spans="1:7" ht="44.25" customHeight="1" hidden="1">
      <c r="A103" s="348"/>
      <c r="B103" s="396"/>
      <c r="C103" s="397" t="s">
        <v>993</v>
      </c>
      <c r="D103" s="398" t="s">
        <v>997</v>
      </c>
      <c r="E103" s="399">
        <v>0</v>
      </c>
      <c r="F103" s="399"/>
      <c r="G103" s="400" t="e">
        <f t="shared" si="2"/>
        <v>#DIV/0!</v>
      </c>
    </row>
    <row r="104" spans="1:7" s="384" customFormat="1" ht="19.5" customHeight="1">
      <c r="A104" s="1621" t="s">
        <v>1315</v>
      </c>
      <c r="B104" s="1622"/>
      <c r="C104" s="1622"/>
      <c r="D104" s="1623"/>
      <c r="E104" s="388">
        <f>SUM(E105,E114,E117,E124,E127,E131)</f>
        <v>2767724</v>
      </c>
      <c r="F104" s="388">
        <f>SUM(F105,F114,F117,F124,F127,F131)</f>
        <v>906834.32</v>
      </c>
      <c r="G104" s="389">
        <f t="shared" si="2"/>
        <v>32.764622484033815</v>
      </c>
    </row>
    <row r="105" spans="1:7" s="390" customFormat="1" ht="16.5" customHeight="1">
      <c r="A105" s="247" t="s">
        <v>1414</v>
      </c>
      <c r="B105" s="271"/>
      <c r="C105" s="271"/>
      <c r="D105" s="282" t="s">
        <v>1415</v>
      </c>
      <c r="E105" s="250">
        <f>SUM(E106)</f>
        <v>1760000</v>
      </c>
      <c r="F105" s="250">
        <f>SUM(F106)</f>
        <v>905234.32</v>
      </c>
      <c r="G105" s="251">
        <f t="shared" si="2"/>
        <v>51.433768181818174</v>
      </c>
    </row>
    <row r="106" spans="1:7" s="354" customFormat="1" ht="39.75" customHeight="1">
      <c r="A106" s="253"/>
      <c r="B106" s="275" t="s">
        <v>1416</v>
      </c>
      <c r="C106" s="275"/>
      <c r="D106" s="255" t="s">
        <v>426</v>
      </c>
      <c r="E106" s="256">
        <f>SUM(E107,E108,E110,E111,E113)</f>
        <v>1760000</v>
      </c>
      <c r="F106" s="256">
        <f>SUM(F107,F108,F110,F111,F113)</f>
        <v>905234.32</v>
      </c>
      <c r="G106" s="257">
        <f t="shared" si="2"/>
        <v>51.433768181818174</v>
      </c>
    </row>
    <row r="107" spans="1:7" s="297" customFormat="1" ht="27.75" customHeight="1">
      <c r="A107" s="259"/>
      <c r="B107" s="266"/>
      <c r="C107" s="266" t="s">
        <v>369</v>
      </c>
      <c r="D107" s="270" t="s">
        <v>368</v>
      </c>
      <c r="E107" s="268">
        <f>6DOCHODY!E438</f>
        <v>4000</v>
      </c>
      <c r="F107" s="268">
        <f>6DOCHODY!F438</f>
        <v>5057.5</v>
      </c>
      <c r="G107" s="294">
        <f t="shared" si="2"/>
        <v>126.4375</v>
      </c>
    </row>
    <row r="108" spans="1:7" s="297" customFormat="1" ht="69.75" customHeight="1">
      <c r="A108" s="259"/>
      <c r="B108" s="266"/>
      <c r="C108" s="266" t="s">
        <v>346</v>
      </c>
      <c r="D108" s="296" t="s">
        <v>348</v>
      </c>
      <c r="E108" s="268">
        <f>6DOCHODY!E442</f>
        <v>1520000</v>
      </c>
      <c r="F108" s="268">
        <f>6DOCHODY!F442</f>
        <v>872540.48</v>
      </c>
      <c r="G108" s="294">
        <f t="shared" si="2"/>
        <v>57.403978947368415</v>
      </c>
    </row>
    <row r="109" spans="1:7" s="297" customFormat="1" ht="26.25" customHeight="1">
      <c r="A109" s="259"/>
      <c r="B109" s="266"/>
      <c r="C109" s="266"/>
      <c r="D109" s="262" t="s">
        <v>83</v>
      </c>
      <c r="E109" s="268"/>
      <c r="F109" s="268"/>
      <c r="G109" s="294"/>
    </row>
    <row r="110" spans="1:7" s="354" customFormat="1" ht="59.25" customHeight="1">
      <c r="A110" s="259"/>
      <c r="B110" s="260"/>
      <c r="C110" s="266" t="s">
        <v>441</v>
      </c>
      <c r="D110" s="270" t="s">
        <v>497</v>
      </c>
      <c r="E110" s="263">
        <f>6DOCHODY!E444</f>
        <v>0</v>
      </c>
      <c r="F110" s="263">
        <f>6DOCHODY!F444</f>
        <v>27636.34</v>
      </c>
      <c r="G110" s="264" t="s">
        <v>144</v>
      </c>
    </row>
    <row r="111" spans="1:7" s="391" customFormat="1" ht="57" customHeight="1" hidden="1">
      <c r="A111" s="368"/>
      <c r="B111" s="287"/>
      <c r="C111" s="266" t="s">
        <v>1257</v>
      </c>
      <c r="D111" s="270" t="s">
        <v>497</v>
      </c>
      <c r="E111" s="280">
        <f>6DOCHODY!E445</f>
        <v>0</v>
      </c>
      <c r="F111" s="280">
        <f>6DOCHODY!F445</f>
        <v>0</v>
      </c>
      <c r="G111" s="294" t="e">
        <f>F111/E111*100</f>
        <v>#DIV/0!</v>
      </c>
    </row>
    <row r="112" spans="1:7" s="391" customFormat="1" ht="80.25" customHeight="1" hidden="1">
      <c r="A112" s="368"/>
      <c r="B112" s="287"/>
      <c r="C112" s="266"/>
      <c r="D112" s="262" t="s">
        <v>498</v>
      </c>
      <c r="E112" s="280"/>
      <c r="F112" s="280"/>
      <c r="G112" s="294"/>
    </row>
    <row r="113" spans="1:7" s="297" customFormat="1" ht="28.5" customHeight="1">
      <c r="A113" s="259"/>
      <c r="B113" s="286"/>
      <c r="C113" s="1503" t="s">
        <v>436</v>
      </c>
      <c r="D113" s="1504" t="s">
        <v>243</v>
      </c>
      <c r="E113" s="1523">
        <v>236000</v>
      </c>
      <c r="F113" s="1523">
        <f>6DOCHODY!F450</f>
        <v>0</v>
      </c>
      <c r="G113" s="264">
        <f>F113/E113*100</f>
        <v>0</v>
      </c>
    </row>
    <row r="114" spans="1:7" s="354" customFormat="1" ht="21" customHeight="1">
      <c r="A114" s="247" t="s">
        <v>1421</v>
      </c>
      <c r="B114" s="355"/>
      <c r="C114" s="271"/>
      <c r="D114" s="272" t="s">
        <v>1422</v>
      </c>
      <c r="E114" s="273">
        <f>SUM(E115)</f>
        <v>1600</v>
      </c>
      <c r="F114" s="273">
        <f>SUM(F115)</f>
        <v>1600</v>
      </c>
      <c r="G114" s="251">
        <f aca="true" t="shared" si="3" ref="G114:G126">F114/E114*100</f>
        <v>100</v>
      </c>
    </row>
    <row r="115" spans="1:7" s="354" customFormat="1" ht="19.5" customHeight="1">
      <c r="A115" s="259"/>
      <c r="B115" s="287" t="s">
        <v>1423</v>
      </c>
      <c r="C115" s="287"/>
      <c r="D115" s="356" t="s">
        <v>1424</v>
      </c>
      <c r="E115" s="277">
        <f>SUM(E116)</f>
        <v>1600</v>
      </c>
      <c r="F115" s="277">
        <f>SUM(F116)</f>
        <v>1600</v>
      </c>
      <c r="G115" s="257">
        <f t="shared" si="3"/>
        <v>100</v>
      </c>
    </row>
    <row r="116" spans="1:7" s="297" customFormat="1" ht="53.25" customHeight="1">
      <c r="A116" s="259"/>
      <c r="B116" s="260"/>
      <c r="C116" s="261">
        <v>6410</v>
      </c>
      <c r="D116" s="262" t="s">
        <v>1266</v>
      </c>
      <c r="E116" s="293">
        <f>6DOCHODY!E454</f>
        <v>1600</v>
      </c>
      <c r="F116" s="293">
        <f>6DOCHODY!F454</f>
        <v>1600</v>
      </c>
      <c r="G116" s="264">
        <f t="shared" si="3"/>
        <v>100</v>
      </c>
    </row>
    <row r="117" spans="1:7" s="354" customFormat="1" ht="19.5" customHeight="1" hidden="1">
      <c r="A117" s="247" t="s">
        <v>1425</v>
      </c>
      <c r="B117" s="271"/>
      <c r="C117" s="357"/>
      <c r="D117" s="272" t="s">
        <v>1426</v>
      </c>
      <c r="E117" s="273">
        <f>SUM(E118,E120,E122)</f>
        <v>0</v>
      </c>
      <c r="F117" s="273">
        <f>SUM(F118,F120,F122)</f>
        <v>0</v>
      </c>
      <c r="G117" s="251" t="e">
        <f t="shared" si="3"/>
        <v>#DIV/0!</v>
      </c>
    </row>
    <row r="118" spans="1:7" s="354" customFormat="1" ht="19.5" customHeight="1" hidden="1">
      <c r="A118" s="253"/>
      <c r="B118" s="275" t="s">
        <v>1428</v>
      </c>
      <c r="C118" s="275"/>
      <c r="D118" s="255" t="s">
        <v>1429</v>
      </c>
      <c r="E118" s="277">
        <f>SUM(E119)</f>
        <v>0</v>
      </c>
      <c r="F118" s="277">
        <f>SUM(F119)</f>
        <v>0</v>
      </c>
      <c r="G118" s="257" t="e">
        <f t="shared" si="3"/>
        <v>#DIV/0!</v>
      </c>
    </row>
    <row r="119" spans="1:7" s="297" customFormat="1" ht="67.5" customHeight="1" hidden="1">
      <c r="A119" s="259"/>
      <c r="B119" s="266"/>
      <c r="C119" s="266" t="s">
        <v>990</v>
      </c>
      <c r="D119" s="270" t="s">
        <v>356</v>
      </c>
      <c r="E119" s="268">
        <f>6DOCHODY!E464</f>
        <v>0</v>
      </c>
      <c r="F119" s="268">
        <f>6DOCHODY!F464</f>
        <v>0</v>
      </c>
      <c r="G119" s="294" t="e">
        <f t="shared" si="3"/>
        <v>#DIV/0!</v>
      </c>
    </row>
    <row r="120" spans="1:7" s="297" customFormat="1" ht="23.25" customHeight="1" hidden="1">
      <c r="A120" s="259"/>
      <c r="B120" s="275" t="s">
        <v>1430</v>
      </c>
      <c r="C120" s="275"/>
      <c r="D120" s="276" t="s">
        <v>1434</v>
      </c>
      <c r="E120" s="268">
        <f>SUM(E121)</f>
        <v>0</v>
      </c>
      <c r="F120" s="268">
        <f>SUM(F121)</f>
        <v>0</v>
      </c>
      <c r="G120" s="294" t="e">
        <f t="shared" si="3"/>
        <v>#DIV/0!</v>
      </c>
    </row>
    <row r="121" spans="1:7" s="297" customFormat="1" ht="67.5" customHeight="1" hidden="1">
      <c r="A121" s="259"/>
      <c r="B121" s="266"/>
      <c r="C121" s="266" t="s">
        <v>358</v>
      </c>
      <c r="D121" s="270" t="s">
        <v>1266</v>
      </c>
      <c r="E121" s="268">
        <f>6DOCHODY!E467</f>
        <v>0</v>
      </c>
      <c r="F121" s="268">
        <f>6DOCHODY!F467</f>
        <v>0</v>
      </c>
      <c r="G121" s="294" t="e">
        <f t="shared" si="3"/>
        <v>#DIV/0!</v>
      </c>
    </row>
    <row r="122" spans="1:7" s="297" customFormat="1" ht="23.25" customHeight="1" hidden="1">
      <c r="A122" s="259"/>
      <c r="B122" s="275" t="s">
        <v>357</v>
      </c>
      <c r="C122" s="275"/>
      <c r="D122" s="276" t="s">
        <v>1358</v>
      </c>
      <c r="E122" s="277">
        <f>SUM(E123)</f>
        <v>0</v>
      </c>
      <c r="F122" s="277">
        <f>SUM(F123)</f>
        <v>0</v>
      </c>
      <c r="G122" s="281" t="e">
        <f t="shared" si="3"/>
        <v>#DIV/0!</v>
      </c>
    </row>
    <row r="123" spans="1:7" s="297" customFormat="1" ht="58.5" customHeight="1" hidden="1">
      <c r="A123" s="253"/>
      <c r="B123" s="266"/>
      <c r="C123" s="266" t="s">
        <v>358</v>
      </c>
      <c r="D123" s="270" t="s">
        <v>1266</v>
      </c>
      <c r="E123" s="268">
        <f>6DOCHODY!E469</f>
        <v>0</v>
      </c>
      <c r="F123" s="268">
        <f>6DOCHODY!F469</f>
        <v>0</v>
      </c>
      <c r="G123" s="294" t="e">
        <f t="shared" si="3"/>
        <v>#DIV/0!</v>
      </c>
    </row>
    <row r="124" spans="1:7" s="354" customFormat="1" ht="29.25" customHeight="1" hidden="1">
      <c r="A124" s="247" t="s">
        <v>1452</v>
      </c>
      <c r="B124" s="271"/>
      <c r="C124" s="357"/>
      <c r="D124" s="282" t="s">
        <v>48</v>
      </c>
      <c r="E124" s="273">
        <f>SUM(E125)</f>
        <v>0</v>
      </c>
      <c r="F124" s="273">
        <f>SUM(F125)</f>
        <v>0</v>
      </c>
      <c r="G124" s="251" t="e">
        <f t="shared" si="3"/>
        <v>#DIV/0!</v>
      </c>
    </row>
    <row r="125" spans="1:7" s="354" customFormat="1" ht="19.5" customHeight="1" hidden="1">
      <c r="A125" s="253"/>
      <c r="B125" s="275" t="s">
        <v>1453</v>
      </c>
      <c r="C125" s="357"/>
      <c r="D125" s="255" t="s">
        <v>221</v>
      </c>
      <c r="E125" s="277">
        <f>SUM(E126)</f>
        <v>0</v>
      </c>
      <c r="F125" s="277">
        <f>SUM(F126)</f>
        <v>0</v>
      </c>
      <c r="G125" s="257" t="e">
        <f t="shared" si="3"/>
        <v>#DIV/0!</v>
      </c>
    </row>
    <row r="126" spans="1:7" s="297" customFormat="1" ht="54.75" customHeight="1" hidden="1">
      <c r="A126" s="259"/>
      <c r="B126" s="260"/>
      <c r="C126" s="359">
        <v>6410</v>
      </c>
      <c r="D126" s="270" t="s">
        <v>1266</v>
      </c>
      <c r="E126" s="293">
        <f>6DOCHODY!E484</f>
        <v>0</v>
      </c>
      <c r="F126" s="293">
        <f>6DOCHODY!F484</f>
        <v>0</v>
      </c>
      <c r="G126" s="264" t="e">
        <f t="shared" si="3"/>
        <v>#DIV/0!</v>
      </c>
    </row>
    <row r="127" spans="1:7" s="297" customFormat="1" ht="25.5" customHeight="1">
      <c r="A127" s="303" t="s">
        <v>1459</v>
      </c>
      <c r="B127" s="304"/>
      <c r="C127" s="304"/>
      <c r="D127" s="319" t="s">
        <v>1460</v>
      </c>
      <c r="E127" s="284">
        <f>SUM(E128)</f>
        <v>1000000</v>
      </c>
      <c r="F127" s="284">
        <f>SUM(F128)</f>
        <v>0</v>
      </c>
      <c r="G127" s="251">
        <f>F127/E127*100</f>
        <v>0</v>
      </c>
    </row>
    <row r="128" spans="1:7" s="297" customFormat="1" ht="18.75" customHeight="1">
      <c r="A128" s="298"/>
      <c r="B128" s="299" t="s">
        <v>1465</v>
      </c>
      <c r="C128" s="299"/>
      <c r="D128" s="307" t="s">
        <v>326</v>
      </c>
      <c r="E128" s="302">
        <f>SUM(E129)</f>
        <v>1000000</v>
      </c>
      <c r="F128" s="302">
        <f>SUM(F129)</f>
        <v>0</v>
      </c>
      <c r="G128" s="264">
        <f>F128/E128*100</f>
        <v>0</v>
      </c>
    </row>
    <row r="129" spans="1:7" s="297" customFormat="1" ht="58.5" customHeight="1">
      <c r="A129" s="323"/>
      <c r="B129" s="324"/>
      <c r="C129" s="290" t="s">
        <v>1257</v>
      </c>
      <c r="D129" s="270" t="s">
        <v>497</v>
      </c>
      <c r="E129" s="291">
        <f>6DOCHODY!E510</f>
        <v>1000000</v>
      </c>
      <c r="F129" s="291">
        <f>6DOCHODY!F510</f>
        <v>0</v>
      </c>
      <c r="G129" s="264">
        <f>F129/E129*100</f>
        <v>0</v>
      </c>
    </row>
    <row r="130" spans="1:7" s="297" customFormat="1" ht="83.25" customHeight="1">
      <c r="A130" s="288"/>
      <c r="B130" s="289"/>
      <c r="C130" s="290"/>
      <c r="D130" s="262" t="s">
        <v>498</v>
      </c>
      <c r="E130" s="291"/>
      <c r="F130" s="291"/>
      <c r="G130" s="264"/>
    </row>
    <row r="131" spans="1:7" s="297" customFormat="1" ht="29.25" customHeight="1">
      <c r="A131" s="303" t="s">
        <v>1472</v>
      </c>
      <c r="B131" s="304"/>
      <c r="C131" s="304"/>
      <c r="D131" s="319" t="s">
        <v>746</v>
      </c>
      <c r="E131" s="284">
        <f>SUM(E132)</f>
        <v>6124</v>
      </c>
      <c r="F131" s="284">
        <f>SUM(F132)</f>
        <v>0</v>
      </c>
      <c r="G131" s="251">
        <f>F131/E131*100</f>
        <v>0</v>
      </c>
    </row>
    <row r="132" spans="1:7" s="297" customFormat="1" ht="20.25" customHeight="1">
      <c r="A132" s="298"/>
      <c r="B132" s="299" t="s">
        <v>750</v>
      </c>
      <c r="C132" s="299"/>
      <c r="D132" s="307" t="s">
        <v>1358</v>
      </c>
      <c r="E132" s="302">
        <f>SUM(E133)</f>
        <v>6124</v>
      </c>
      <c r="F132" s="302">
        <f>SUM(F133)</f>
        <v>0</v>
      </c>
      <c r="G132" s="264">
        <f>F132/E132*100</f>
        <v>0</v>
      </c>
    </row>
    <row r="133" spans="1:7" s="297" customFormat="1" ht="69.75" customHeight="1">
      <c r="A133" s="259"/>
      <c r="B133" s="266"/>
      <c r="C133" s="266" t="s">
        <v>346</v>
      </c>
      <c r="D133" s="296" t="s">
        <v>348</v>
      </c>
      <c r="E133" s="268">
        <f>6DOCHODY!E568</f>
        <v>6124</v>
      </c>
      <c r="F133" s="268">
        <f>6DOCHODY!F568</f>
        <v>0</v>
      </c>
      <c r="G133" s="294">
        <f>F133/E133*100</f>
        <v>0</v>
      </c>
    </row>
    <row r="134" spans="1:7" s="297" customFormat="1" ht="30" customHeight="1" thickBot="1">
      <c r="A134" s="259"/>
      <c r="B134" s="266"/>
      <c r="C134" s="266"/>
      <c r="D134" s="262" t="s">
        <v>83</v>
      </c>
      <c r="E134" s="268"/>
      <c r="F134" s="268"/>
      <c r="G134" s="294"/>
    </row>
    <row r="135" spans="1:7" s="297" customFormat="1" ht="44.25" customHeight="1" hidden="1" thickBot="1">
      <c r="A135" s="259"/>
      <c r="B135" s="266"/>
      <c r="C135" s="266"/>
      <c r="D135" s="270"/>
      <c r="E135" s="263"/>
      <c r="F135" s="263"/>
      <c r="G135" s="264"/>
    </row>
    <row r="136" spans="1:7" s="377" customFormat="1" ht="21" customHeight="1" thickBot="1">
      <c r="A136" s="1609" t="s">
        <v>1316</v>
      </c>
      <c r="B136" s="1610"/>
      <c r="C136" s="1610"/>
      <c r="D136" s="1611"/>
      <c r="E136" s="375">
        <f>SUM(E7,E104)</f>
        <v>54427694</v>
      </c>
      <c r="F136" s="375">
        <f>SUM(F7,F104)</f>
        <v>15366194.38</v>
      </c>
      <c r="G136" s="376">
        <f>F136/E136*100</f>
        <v>28.232308317159276</v>
      </c>
    </row>
    <row r="137" spans="1:6" ht="19.5" customHeight="1" hidden="1">
      <c r="A137" s="334"/>
      <c r="B137" s="334"/>
      <c r="C137" s="334"/>
      <c r="D137" s="385" t="s">
        <v>1140</v>
      </c>
      <c r="E137" s="206">
        <v>54427694</v>
      </c>
      <c r="F137" s="206">
        <v>15366194.38</v>
      </c>
    </row>
    <row r="138" spans="1:6" ht="19.5" customHeight="1" hidden="1">
      <c r="A138" s="334"/>
      <c r="B138" s="334"/>
      <c r="C138" s="334"/>
      <c r="D138" s="385" t="s">
        <v>690</v>
      </c>
      <c r="E138" s="392">
        <f>E137-E136</f>
        <v>0</v>
      </c>
      <c r="F138" s="392">
        <f>F137-F136</f>
        <v>0</v>
      </c>
    </row>
    <row r="139" spans="1:7" s="269" customFormat="1" ht="19.5" customHeight="1">
      <c r="A139" s="393"/>
      <c r="B139" s="393"/>
      <c r="C139" s="393"/>
      <c r="D139" s="401"/>
      <c r="E139" s="335"/>
      <c r="F139" s="402"/>
      <c r="G139" s="403"/>
    </row>
    <row r="140" spans="1:7" s="269" customFormat="1" ht="19.5" customHeight="1">
      <c r="A140" s="393"/>
      <c r="B140" s="393"/>
      <c r="C140" s="393"/>
      <c r="D140" s="401"/>
      <c r="E140" s="335"/>
      <c r="F140" s="335"/>
      <c r="G140" s="403"/>
    </row>
    <row r="141" spans="1:6" ht="19.5" customHeight="1">
      <c r="A141" s="334"/>
      <c r="B141" s="334"/>
      <c r="C141" s="334"/>
      <c r="D141" s="385"/>
      <c r="E141" s="404"/>
      <c r="F141" s="405"/>
    </row>
    <row r="142" spans="1:6" ht="19.5" customHeight="1">
      <c r="A142" s="334"/>
      <c r="B142" s="334"/>
      <c r="C142" s="334"/>
      <c r="D142" s="385"/>
      <c r="E142" s="404"/>
      <c r="F142" s="405"/>
    </row>
    <row r="143" spans="1:6" ht="19.5" customHeight="1">
      <c r="A143" s="334"/>
      <c r="B143" s="334"/>
      <c r="C143" s="334"/>
      <c r="D143" s="385"/>
      <c r="E143" s="404"/>
      <c r="F143" s="405"/>
    </row>
    <row r="144" spans="1:6" ht="19.5" customHeight="1">
      <c r="A144" s="334"/>
      <c r="B144" s="334"/>
      <c r="C144" s="334"/>
      <c r="D144" s="385"/>
      <c r="E144" s="404"/>
      <c r="F144" s="405"/>
    </row>
    <row r="145" spans="1:6" ht="19.5" customHeight="1">
      <c r="A145" s="334"/>
      <c r="B145" s="334"/>
      <c r="C145" s="334"/>
      <c r="D145" s="385"/>
      <c r="E145" s="404"/>
      <c r="F145" s="405"/>
    </row>
    <row r="146" spans="1:6" ht="19.5" customHeight="1">
      <c r="A146" s="334"/>
      <c r="B146" s="334"/>
      <c r="C146" s="334"/>
      <c r="D146" s="385"/>
      <c r="E146" s="404"/>
      <c r="F146" s="405"/>
    </row>
    <row r="147" spans="1:6" ht="19.5" customHeight="1">
      <c r="A147" s="334"/>
      <c r="B147" s="334"/>
      <c r="C147" s="334"/>
      <c r="D147" s="385"/>
      <c r="E147" s="404"/>
      <c r="F147" s="405"/>
    </row>
    <row r="148" spans="1:6" ht="19.5" customHeight="1">
      <c r="A148" s="334"/>
      <c r="B148" s="334"/>
      <c r="C148" s="334"/>
      <c r="D148" s="385"/>
      <c r="E148" s="404"/>
      <c r="F148" s="405"/>
    </row>
    <row r="149" spans="1:6" ht="19.5" customHeight="1">
      <c r="A149" s="334"/>
      <c r="B149" s="334"/>
      <c r="C149" s="334"/>
      <c r="D149" s="385"/>
      <c r="E149" s="404"/>
      <c r="F149" s="405"/>
    </row>
    <row r="150" spans="1:6" ht="19.5" customHeight="1">
      <c r="A150" s="334"/>
      <c r="B150" s="334"/>
      <c r="C150" s="334"/>
      <c r="D150" s="385"/>
      <c r="E150" s="404"/>
      <c r="F150" s="405"/>
    </row>
    <row r="151" spans="1:6" ht="19.5" customHeight="1">
      <c r="A151" s="334"/>
      <c r="B151" s="334"/>
      <c r="C151" s="334"/>
      <c r="D151" s="385"/>
      <c r="E151" s="404"/>
      <c r="F151" s="405"/>
    </row>
    <row r="152" spans="1:6" ht="19.5" customHeight="1">
      <c r="A152" s="334"/>
      <c r="B152" s="334"/>
      <c r="C152" s="334"/>
      <c r="D152" s="385"/>
      <c r="E152" s="404"/>
      <c r="F152" s="405"/>
    </row>
    <row r="153" spans="1:6" ht="19.5" customHeight="1">
      <c r="A153" s="334"/>
      <c r="B153" s="334"/>
      <c r="C153" s="334"/>
      <c r="D153" s="385"/>
      <c r="E153" s="404"/>
      <c r="F153" s="405"/>
    </row>
    <row r="154" spans="1:6" ht="19.5" customHeight="1">
      <c r="A154" s="334"/>
      <c r="B154" s="334"/>
      <c r="C154" s="334"/>
      <c r="D154" s="385"/>
      <c r="E154" s="404"/>
      <c r="F154" s="405"/>
    </row>
    <row r="155" spans="1:6" ht="19.5" customHeight="1">
      <c r="A155" s="334"/>
      <c r="B155" s="334"/>
      <c r="C155" s="334"/>
      <c r="D155" s="385"/>
      <c r="E155" s="404"/>
      <c r="F155" s="405"/>
    </row>
    <row r="156" spans="1:6" ht="19.5" customHeight="1">
      <c r="A156" s="334"/>
      <c r="B156" s="334"/>
      <c r="C156" s="334"/>
      <c r="D156" s="385"/>
      <c r="E156" s="404"/>
      <c r="F156" s="405"/>
    </row>
    <row r="157" spans="1:6" ht="19.5" customHeight="1">
      <c r="A157" s="334"/>
      <c r="B157" s="334"/>
      <c r="C157" s="334"/>
      <c r="D157" s="385"/>
      <c r="E157" s="404"/>
      <c r="F157" s="405"/>
    </row>
    <row r="158" spans="1:6" ht="19.5" customHeight="1">
      <c r="A158" s="334"/>
      <c r="B158" s="334"/>
      <c r="C158" s="334"/>
      <c r="D158" s="385"/>
      <c r="E158" s="404"/>
      <c r="F158" s="405"/>
    </row>
    <row r="159" spans="1:6" ht="19.5" customHeight="1">
      <c r="A159" s="334"/>
      <c r="B159" s="334"/>
      <c r="C159" s="334"/>
      <c r="D159" s="385"/>
      <c r="E159" s="404"/>
      <c r="F159" s="405"/>
    </row>
    <row r="160" spans="1:6" ht="19.5" customHeight="1">
      <c r="A160" s="334"/>
      <c r="B160" s="334"/>
      <c r="C160" s="334"/>
      <c r="D160" s="385"/>
      <c r="E160" s="404"/>
      <c r="F160" s="405"/>
    </row>
    <row r="161" spans="1:6" ht="19.5" customHeight="1">
      <c r="A161" s="334"/>
      <c r="B161" s="334"/>
      <c r="C161" s="334"/>
      <c r="D161" s="385"/>
      <c r="E161" s="404"/>
      <c r="F161" s="405"/>
    </row>
    <row r="162" spans="1:6" ht="19.5" customHeight="1">
      <c r="A162" s="334"/>
      <c r="B162" s="334"/>
      <c r="C162" s="334"/>
      <c r="D162" s="385"/>
      <c r="E162" s="404"/>
      <c r="F162" s="405"/>
    </row>
    <row r="163" spans="1:6" ht="19.5" customHeight="1">
      <c r="A163" s="334"/>
      <c r="B163" s="334"/>
      <c r="C163" s="334"/>
      <c r="D163" s="385"/>
      <c r="E163" s="404"/>
      <c r="F163" s="405"/>
    </row>
    <row r="164" spans="1:6" ht="19.5" customHeight="1">
      <c r="A164" s="334"/>
      <c r="B164" s="334"/>
      <c r="C164" s="334"/>
      <c r="D164" s="385"/>
      <c r="E164" s="404"/>
      <c r="F164" s="405"/>
    </row>
    <row r="165" spans="1:6" ht="19.5" customHeight="1">
      <c r="A165" s="334"/>
      <c r="B165" s="334"/>
      <c r="C165" s="334"/>
      <c r="D165" s="385"/>
      <c r="E165" s="404"/>
      <c r="F165" s="405"/>
    </row>
    <row r="166" spans="1:6" ht="19.5" customHeight="1">
      <c r="A166" s="334"/>
      <c r="B166" s="334"/>
      <c r="C166" s="334"/>
      <c r="D166" s="385"/>
      <c r="E166" s="404"/>
      <c r="F166" s="405"/>
    </row>
    <row r="167" spans="1:6" ht="19.5" customHeight="1">
      <c r="A167" s="334"/>
      <c r="B167" s="334"/>
      <c r="C167" s="334"/>
      <c r="D167" s="385"/>
      <c r="E167" s="404"/>
      <c r="F167" s="405"/>
    </row>
    <row r="168" spans="1:6" ht="19.5" customHeight="1">
      <c r="A168" s="334"/>
      <c r="B168" s="334"/>
      <c r="C168" s="334"/>
      <c r="D168" s="385"/>
      <c r="E168" s="404"/>
      <c r="F168" s="405"/>
    </row>
    <row r="169" spans="1:6" ht="19.5" customHeight="1">
      <c r="A169" s="334"/>
      <c r="B169" s="334"/>
      <c r="C169" s="334"/>
      <c r="D169" s="385"/>
      <c r="E169" s="404"/>
      <c r="F169" s="405"/>
    </row>
    <row r="170" spans="1:6" ht="19.5" customHeight="1">
      <c r="A170" s="334"/>
      <c r="B170" s="334"/>
      <c r="C170" s="334"/>
      <c r="D170" s="385"/>
      <c r="E170" s="404"/>
      <c r="F170" s="405"/>
    </row>
    <row r="171" spans="1:6" ht="19.5" customHeight="1">
      <c r="A171" s="334"/>
      <c r="B171" s="334"/>
      <c r="C171" s="334"/>
      <c r="D171" s="385"/>
      <c r="E171" s="404"/>
      <c r="F171" s="405"/>
    </row>
    <row r="172" spans="1:6" ht="19.5" customHeight="1">
      <c r="A172" s="334"/>
      <c r="B172" s="334"/>
      <c r="C172" s="334"/>
      <c r="D172" s="385"/>
      <c r="E172" s="404"/>
      <c r="F172" s="405"/>
    </row>
    <row r="173" spans="1:6" ht="19.5" customHeight="1">
      <c r="A173" s="334"/>
      <c r="B173" s="334"/>
      <c r="C173" s="334"/>
      <c r="D173" s="385"/>
      <c r="E173" s="404"/>
      <c r="F173" s="405"/>
    </row>
    <row r="174" spans="1:6" ht="19.5" customHeight="1">
      <c r="A174" s="334"/>
      <c r="B174" s="334"/>
      <c r="C174" s="334"/>
      <c r="D174" s="385"/>
      <c r="E174" s="404"/>
      <c r="F174" s="405"/>
    </row>
    <row r="175" spans="1:6" ht="19.5" customHeight="1">
      <c r="A175" s="334"/>
      <c r="B175" s="334"/>
      <c r="C175" s="334"/>
      <c r="D175" s="385"/>
      <c r="E175" s="404"/>
      <c r="F175" s="405"/>
    </row>
    <row r="176" spans="1:6" ht="19.5" customHeight="1">
      <c r="A176" s="334"/>
      <c r="B176" s="334"/>
      <c r="C176" s="334"/>
      <c r="D176" s="385"/>
      <c r="E176" s="404"/>
      <c r="F176" s="405"/>
    </row>
    <row r="177" spans="1:6" ht="19.5" customHeight="1">
      <c r="A177" s="334"/>
      <c r="B177" s="334"/>
      <c r="C177" s="334"/>
      <c r="D177" s="385"/>
      <c r="E177" s="404"/>
      <c r="F177" s="405"/>
    </row>
    <row r="178" spans="1:6" ht="19.5" customHeight="1">
      <c r="A178" s="334"/>
      <c r="B178" s="334"/>
      <c r="C178" s="334"/>
      <c r="D178" s="385"/>
      <c r="E178" s="404"/>
      <c r="F178" s="405"/>
    </row>
    <row r="179" spans="1:6" ht="19.5" customHeight="1">
      <c r="A179" s="334"/>
      <c r="B179" s="334"/>
      <c r="C179" s="334"/>
      <c r="D179" s="385"/>
      <c r="E179" s="404"/>
      <c r="F179" s="405"/>
    </row>
    <row r="180" spans="1:6" ht="19.5" customHeight="1">
      <c r="A180" s="334"/>
      <c r="B180" s="334"/>
      <c r="C180" s="334"/>
      <c r="D180" s="385"/>
      <c r="E180" s="404"/>
      <c r="F180" s="405"/>
    </row>
    <row r="181" spans="1:6" ht="19.5" customHeight="1">
      <c r="A181" s="334"/>
      <c r="B181" s="334"/>
      <c r="C181" s="334"/>
      <c r="D181" s="385"/>
      <c r="E181" s="404"/>
      <c r="F181" s="405"/>
    </row>
    <row r="182" spans="1:6" ht="19.5" customHeight="1">
      <c r="A182" s="334"/>
      <c r="B182" s="334"/>
      <c r="C182" s="334"/>
      <c r="D182" s="385"/>
      <c r="E182" s="404"/>
      <c r="F182" s="405"/>
    </row>
    <row r="183" spans="1:6" ht="19.5" customHeight="1">
      <c r="A183" s="334"/>
      <c r="B183" s="334"/>
      <c r="C183" s="334"/>
      <c r="D183" s="385"/>
      <c r="E183" s="404"/>
      <c r="F183" s="405"/>
    </row>
    <row r="184" spans="1:6" ht="19.5" customHeight="1">
      <c r="A184" s="334"/>
      <c r="B184" s="334"/>
      <c r="C184" s="334"/>
      <c r="D184" s="385"/>
      <c r="E184" s="404"/>
      <c r="F184" s="405"/>
    </row>
    <row r="185" spans="1:6" ht="19.5" customHeight="1">
      <c r="A185" s="334"/>
      <c r="B185" s="334"/>
      <c r="C185" s="334"/>
      <c r="D185" s="385"/>
      <c r="E185" s="404"/>
      <c r="F185" s="405"/>
    </row>
    <row r="186" spans="1:6" ht="19.5" customHeight="1">
      <c r="A186" s="334"/>
      <c r="B186" s="334"/>
      <c r="C186" s="334"/>
      <c r="D186" s="385"/>
      <c r="E186" s="404"/>
      <c r="F186" s="405"/>
    </row>
    <row r="187" spans="1:6" ht="19.5" customHeight="1">
      <c r="A187" s="334"/>
      <c r="B187" s="334"/>
      <c r="C187" s="334"/>
      <c r="D187" s="385"/>
      <c r="E187" s="404"/>
      <c r="F187" s="405"/>
    </row>
    <row r="188" spans="1:6" ht="19.5" customHeight="1">
      <c r="A188" s="334"/>
      <c r="B188" s="334"/>
      <c r="C188" s="334"/>
      <c r="D188" s="385"/>
      <c r="E188" s="404"/>
      <c r="F188" s="405"/>
    </row>
    <row r="189" spans="1:6" ht="19.5" customHeight="1">
      <c r="A189" s="334"/>
      <c r="B189" s="334"/>
      <c r="C189" s="334"/>
      <c r="D189" s="385"/>
      <c r="E189" s="404"/>
      <c r="F189" s="405"/>
    </row>
    <row r="190" spans="1:6" ht="19.5" customHeight="1">
      <c r="A190" s="334"/>
      <c r="B190" s="334"/>
      <c r="C190" s="334"/>
      <c r="D190" s="385"/>
      <c r="E190" s="404"/>
      <c r="F190" s="405"/>
    </row>
    <row r="191" spans="1:6" ht="19.5" customHeight="1">
      <c r="A191" s="334"/>
      <c r="B191" s="334"/>
      <c r="C191" s="334"/>
      <c r="D191" s="385"/>
      <c r="E191" s="404"/>
      <c r="F191" s="405"/>
    </row>
    <row r="192" spans="1:6" ht="19.5" customHeight="1">
      <c r="A192" s="334"/>
      <c r="B192" s="334"/>
      <c r="C192" s="334"/>
      <c r="D192" s="385"/>
      <c r="E192" s="404"/>
      <c r="F192" s="405"/>
    </row>
    <row r="193" spans="1:6" ht="19.5" customHeight="1">
      <c r="A193" s="334"/>
      <c r="B193" s="334"/>
      <c r="C193" s="334"/>
      <c r="D193" s="385"/>
      <c r="E193" s="404"/>
      <c r="F193" s="405"/>
    </row>
    <row r="194" spans="1:6" ht="19.5" customHeight="1">
      <c r="A194" s="334"/>
      <c r="B194" s="334"/>
      <c r="C194" s="334"/>
      <c r="D194" s="385"/>
      <c r="E194" s="404"/>
      <c r="F194" s="405"/>
    </row>
    <row r="195" spans="1:6" ht="19.5" customHeight="1">
      <c r="A195" s="334"/>
      <c r="B195" s="334"/>
      <c r="C195" s="334"/>
      <c r="D195" s="385"/>
      <c r="E195" s="404"/>
      <c r="F195" s="405"/>
    </row>
    <row r="196" spans="1:6" ht="19.5" customHeight="1">
      <c r="A196" s="334"/>
      <c r="B196" s="334"/>
      <c r="C196" s="334"/>
      <c r="D196" s="385"/>
      <c r="E196" s="404"/>
      <c r="F196" s="405"/>
    </row>
    <row r="197" spans="1:6" ht="19.5" customHeight="1">
      <c r="A197" s="334"/>
      <c r="B197" s="334"/>
      <c r="C197" s="334"/>
      <c r="D197" s="385"/>
      <c r="E197" s="404"/>
      <c r="F197" s="405"/>
    </row>
    <row r="198" spans="1:6" ht="19.5" customHeight="1">
      <c r="A198" s="334"/>
      <c r="B198" s="334"/>
      <c r="C198" s="334"/>
      <c r="D198" s="385"/>
      <c r="E198" s="404"/>
      <c r="F198" s="405"/>
    </row>
    <row r="199" spans="1:6" ht="19.5" customHeight="1">
      <c r="A199" s="334"/>
      <c r="B199" s="334"/>
      <c r="C199" s="334"/>
      <c r="D199" s="385"/>
      <c r="E199" s="404"/>
      <c r="F199" s="405"/>
    </row>
    <row r="200" spans="1:6" ht="19.5" customHeight="1">
      <c r="A200" s="334"/>
      <c r="B200" s="334"/>
      <c r="C200" s="334"/>
      <c r="D200" s="385"/>
      <c r="E200" s="404"/>
      <c r="F200" s="405"/>
    </row>
    <row r="201" spans="1:6" ht="19.5" customHeight="1">
      <c r="A201" s="334"/>
      <c r="B201" s="334"/>
      <c r="C201" s="334"/>
      <c r="D201" s="385"/>
      <c r="E201" s="404"/>
      <c r="F201" s="405"/>
    </row>
    <row r="202" spans="1:6" ht="19.5" customHeight="1">
      <c r="A202" s="334"/>
      <c r="B202" s="334"/>
      <c r="C202" s="334"/>
      <c r="D202" s="385"/>
      <c r="E202" s="404"/>
      <c r="F202" s="405"/>
    </row>
    <row r="203" spans="1:6" ht="19.5" customHeight="1">
      <c r="A203" s="334"/>
      <c r="B203" s="334"/>
      <c r="C203" s="334"/>
      <c r="D203" s="385"/>
      <c r="E203" s="404"/>
      <c r="F203" s="405"/>
    </row>
    <row r="204" spans="1:6" ht="19.5" customHeight="1">
      <c r="A204" s="334"/>
      <c r="B204" s="334"/>
      <c r="C204" s="334"/>
      <c r="D204" s="385"/>
      <c r="E204" s="404"/>
      <c r="F204" s="405"/>
    </row>
    <row r="205" spans="1:6" ht="19.5" customHeight="1">
      <c r="A205" s="334"/>
      <c r="B205" s="334"/>
      <c r="C205" s="334"/>
      <c r="D205" s="385"/>
      <c r="E205" s="404"/>
      <c r="F205" s="405"/>
    </row>
    <row r="206" spans="1:6" ht="19.5" customHeight="1">
      <c r="A206" s="334"/>
      <c r="B206" s="334"/>
      <c r="C206" s="334"/>
      <c r="D206" s="385"/>
      <c r="E206" s="404"/>
      <c r="F206" s="405"/>
    </row>
    <row r="207" spans="1:6" ht="19.5" customHeight="1">
      <c r="A207" s="334"/>
      <c r="B207" s="334"/>
      <c r="C207" s="334"/>
      <c r="D207" s="385"/>
      <c r="E207" s="404"/>
      <c r="F207" s="405"/>
    </row>
    <row r="208" spans="1:6" ht="19.5" customHeight="1">
      <c r="A208" s="334"/>
      <c r="B208" s="334"/>
      <c r="C208" s="334"/>
      <c r="D208" s="385"/>
      <c r="E208" s="404"/>
      <c r="F208" s="405"/>
    </row>
    <row r="209" spans="1:6" ht="19.5" customHeight="1">
      <c r="A209" s="334"/>
      <c r="B209" s="334"/>
      <c r="C209" s="334"/>
      <c r="D209" s="385"/>
      <c r="E209" s="404"/>
      <c r="F209" s="405"/>
    </row>
    <row r="210" spans="1:6" ht="19.5" customHeight="1">
      <c r="A210" s="334"/>
      <c r="B210" s="334"/>
      <c r="C210" s="334"/>
      <c r="D210" s="385"/>
      <c r="E210" s="404"/>
      <c r="F210" s="405"/>
    </row>
    <row r="211" spans="1:6" ht="19.5" customHeight="1">
      <c r="A211" s="334"/>
      <c r="B211" s="334"/>
      <c r="C211" s="334"/>
      <c r="D211" s="385"/>
      <c r="E211" s="404"/>
      <c r="F211" s="405"/>
    </row>
    <row r="212" spans="1:6" ht="19.5" customHeight="1">
      <c r="A212" s="334"/>
      <c r="B212" s="334"/>
      <c r="C212" s="334"/>
      <c r="D212" s="385"/>
      <c r="E212" s="404"/>
      <c r="F212" s="405"/>
    </row>
    <row r="213" spans="1:6" ht="19.5" customHeight="1">
      <c r="A213" s="334"/>
      <c r="B213" s="334"/>
      <c r="C213" s="334"/>
      <c r="D213" s="385"/>
      <c r="E213" s="404"/>
      <c r="F213" s="405"/>
    </row>
    <row r="214" spans="1:6" ht="19.5" customHeight="1">
      <c r="A214" s="334"/>
      <c r="B214" s="334"/>
      <c r="C214" s="334"/>
      <c r="D214" s="385"/>
      <c r="E214" s="404"/>
      <c r="F214" s="405"/>
    </row>
    <row r="215" spans="1:6" ht="19.5" customHeight="1">
      <c r="A215" s="334"/>
      <c r="B215" s="334"/>
      <c r="C215" s="334"/>
      <c r="D215" s="385"/>
      <c r="E215" s="404"/>
      <c r="F215" s="405"/>
    </row>
    <row r="216" spans="1:6" ht="19.5" customHeight="1">
      <c r="A216" s="334"/>
      <c r="B216" s="334"/>
      <c r="C216" s="334"/>
      <c r="D216" s="385"/>
      <c r="E216" s="404"/>
      <c r="F216" s="405"/>
    </row>
    <row r="217" spans="1:6" ht="19.5" customHeight="1">
      <c r="A217" s="334"/>
      <c r="B217" s="334"/>
      <c r="C217" s="334"/>
      <c r="D217" s="385"/>
      <c r="E217" s="404"/>
      <c r="F217" s="405"/>
    </row>
    <row r="218" spans="1:6" ht="19.5" customHeight="1">
      <c r="A218" s="334"/>
      <c r="B218" s="334"/>
      <c r="C218" s="334"/>
      <c r="D218" s="385"/>
      <c r="E218" s="404"/>
      <c r="F218" s="405"/>
    </row>
    <row r="219" spans="1:6" ht="19.5" customHeight="1">
      <c r="A219" s="334"/>
      <c r="B219" s="334"/>
      <c r="C219" s="334"/>
      <c r="D219" s="385"/>
      <c r="E219" s="404"/>
      <c r="F219" s="405"/>
    </row>
    <row r="220" spans="1:6" ht="19.5" customHeight="1">
      <c r="A220" s="334"/>
      <c r="B220" s="334"/>
      <c r="C220" s="334"/>
      <c r="D220" s="385"/>
      <c r="E220" s="404"/>
      <c r="F220" s="405"/>
    </row>
    <row r="221" spans="1:6" ht="19.5" customHeight="1">
      <c r="A221" s="334"/>
      <c r="B221" s="334"/>
      <c r="C221" s="334"/>
      <c r="D221" s="385"/>
      <c r="E221" s="404"/>
      <c r="F221" s="405"/>
    </row>
    <row r="222" spans="1:6" ht="19.5" customHeight="1">
      <c r="A222" s="334"/>
      <c r="B222" s="334"/>
      <c r="C222" s="334"/>
      <c r="D222" s="385"/>
      <c r="E222" s="404"/>
      <c r="F222" s="405"/>
    </row>
    <row r="223" spans="1:6" ht="19.5" customHeight="1">
      <c r="A223" s="334"/>
      <c r="B223" s="334"/>
      <c r="C223" s="334"/>
      <c r="D223" s="385"/>
      <c r="E223" s="404"/>
      <c r="F223" s="405"/>
    </row>
    <row r="224" spans="1:6" ht="19.5" customHeight="1">
      <c r="A224" s="334"/>
      <c r="B224" s="334"/>
      <c r="C224" s="334"/>
      <c r="D224" s="385"/>
      <c r="E224" s="404"/>
      <c r="F224" s="405"/>
    </row>
    <row r="225" spans="1:6" ht="19.5" customHeight="1">
      <c r="A225" s="334"/>
      <c r="B225" s="334"/>
      <c r="C225" s="334"/>
      <c r="D225" s="385"/>
      <c r="E225" s="404"/>
      <c r="F225" s="405"/>
    </row>
    <row r="226" spans="1:6" ht="19.5" customHeight="1">
      <c r="A226" s="334"/>
      <c r="B226" s="334"/>
      <c r="C226" s="334"/>
      <c r="D226" s="385"/>
      <c r="E226" s="342"/>
      <c r="F226" s="405"/>
    </row>
    <row r="227" spans="1:6" ht="19.5" customHeight="1">
      <c r="A227" s="334"/>
      <c r="B227" s="334"/>
      <c r="C227" s="334"/>
      <c r="D227" s="385"/>
      <c r="E227" s="342"/>
      <c r="F227" s="405"/>
    </row>
    <row r="228" spans="1:6" ht="19.5" customHeight="1">
      <c r="A228" s="334"/>
      <c r="B228" s="334"/>
      <c r="C228" s="334"/>
      <c r="D228" s="385"/>
      <c r="E228" s="342"/>
      <c r="F228" s="405"/>
    </row>
    <row r="229" spans="1:6" ht="19.5" customHeight="1">
      <c r="A229" s="334"/>
      <c r="B229" s="334"/>
      <c r="C229" s="334"/>
      <c r="D229" s="385"/>
      <c r="E229" s="342"/>
      <c r="F229" s="405"/>
    </row>
    <row r="230" spans="1:6" ht="19.5" customHeight="1">
      <c r="A230" s="334"/>
      <c r="B230" s="334"/>
      <c r="C230" s="334"/>
      <c r="D230" s="385"/>
      <c r="E230" s="342"/>
      <c r="F230" s="405"/>
    </row>
    <row r="231" spans="1:6" ht="19.5" customHeight="1">
      <c r="A231" s="334"/>
      <c r="B231" s="334"/>
      <c r="C231" s="334"/>
      <c r="D231" s="385"/>
      <c r="E231" s="342"/>
      <c r="F231" s="405"/>
    </row>
    <row r="232" spans="1:6" ht="19.5" customHeight="1">
      <c r="A232" s="334"/>
      <c r="B232" s="334"/>
      <c r="C232" s="334"/>
      <c r="D232" s="385"/>
      <c r="E232" s="342"/>
      <c r="F232" s="405"/>
    </row>
    <row r="233" spans="1:6" ht="19.5" customHeight="1">
      <c r="A233" s="334"/>
      <c r="B233" s="334"/>
      <c r="C233" s="334"/>
      <c r="D233" s="385"/>
      <c r="E233" s="342"/>
      <c r="F233" s="405"/>
    </row>
    <row r="234" spans="1:6" ht="19.5" customHeight="1">
      <c r="A234" s="334"/>
      <c r="B234" s="334"/>
      <c r="C234" s="334"/>
      <c r="D234" s="385"/>
      <c r="E234" s="342"/>
      <c r="F234" s="405"/>
    </row>
    <row r="235" spans="1:6" ht="19.5" customHeight="1">
      <c r="A235" s="334"/>
      <c r="B235" s="334"/>
      <c r="C235" s="334"/>
      <c r="D235" s="385"/>
      <c r="E235" s="342"/>
      <c r="F235" s="405"/>
    </row>
    <row r="236" spans="1:6" ht="19.5" customHeight="1">
      <c r="A236" s="334"/>
      <c r="B236" s="334"/>
      <c r="C236" s="334"/>
      <c r="D236" s="385"/>
      <c r="E236" s="342"/>
      <c r="F236" s="405"/>
    </row>
    <row r="237" spans="1:6" ht="19.5" customHeight="1">
      <c r="A237" s="334"/>
      <c r="B237" s="334"/>
      <c r="C237" s="334"/>
      <c r="D237" s="385"/>
      <c r="E237" s="342"/>
      <c r="F237" s="405"/>
    </row>
    <row r="238" spans="1:6" ht="19.5" customHeight="1">
      <c r="A238" s="334"/>
      <c r="B238" s="334"/>
      <c r="C238" s="334"/>
      <c r="D238" s="385"/>
      <c r="E238" s="342"/>
      <c r="F238" s="405"/>
    </row>
    <row r="239" spans="1:6" ht="19.5" customHeight="1">
      <c r="A239" s="334"/>
      <c r="B239" s="334"/>
      <c r="C239" s="334"/>
      <c r="D239" s="385"/>
      <c r="E239" s="342"/>
      <c r="F239" s="405"/>
    </row>
    <row r="240" spans="1:6" ht="19.5" customHeight="1">
      <c r="A240" s="334"/>
      <c r="B240" s="334"/>
      <c r="C240" s="334"/>
      <c r="D240" s="385"/>
      <c r="E240" s="342"/>
      <c r="F240" s="405"/>
    </row>
    <row r="241" spans="1:6" ht="19.5" customHeight="1">
      <c r="A241" s="334"/>
      <c r="B241" s="334"/>
      <c r="C241" s="334"/>
      <c r="D241" s="385"/>
      <c r="E241" s="342"/>
      <c r="F241" s="405"/>
    </row>
    <row r="242" spans="1:6" ht="19.5" customHeight="1">
      <c r="A242" s="334"/>
      <c r="B242" s="334"/>
      <c r="C242" s="334"/>
      <c r="D242" s="385"/>
      <c r="E242" s="342"/>
      <c r="F242" s="405"/>
    </row>
    <row r="243" spans="1:6" ht="19.5" customHeight="1">
      <c r="A243" s="334"/>
      <c r="B243" s="334"/>
      <c r="C243" s="334"/>
      <c r="D243" s="385"/>
      <c r="E243" s="342"/>
      <c r="F243" s="405"/>
    </row>
    <row r="244" spans="1:6" ht="19.5" customHeight="1">
      <c r="A244" s="334"/>
      <c r="B244" s="334"/>
      <c r="C244" s="334"/>
      <c r="D244" s="385"/>
      <c r="E244" s="342"/>
      <c r="F244" s="405"/>
    </row>
    <row r="245" spans="1:6" ht="19.5" customHeight="1">
      <c r="A245" s="334"/>
      <c r="B245" s="334"/>
      <c r="C245" s="334"/>
      <c r="D245" s="385"/>
      <c r="E245" s="342"/>
      <c r="F245" s="405"/>
    </row>
    <row r="246" spans="1:6" ht="19.5" customHeight="1">
      <c r="A246" s="334"/>
      <c r="B246" s="334"/>
      <c r="C246" s="334"/>
      <c r="D246" s="385"/>
      <c r="E246" s="342"/>
      <c r="F246" s="405"/>
    </row>
    <row r="247" spans="1:6" ht="19.5" customHeight="1">
      <c r="A247" s="334"/>
      <c r="B247" s="334"/>
      <c r="C247" s="334"/>
      <c r="D247" s="385"/>
      <c r="E247" s="342"/>
      <c r="F247" s="405"/>
    </row>
    <row r="248" spans="1:6" ht="19.5" customHeight="1">
      <c r="A248" s="334"/>
      <c r="B248" s="334"/>
      <c r="C248" s="334"/>
      <c r="D248" s="385"/>
      <c r="E248" s="342"/>
      <c r="F248" s="405"/>
    </row>
    <row r="249" spans="1:6" ht="19.5" customHeight="1">
      <c r="A249" s="334"/>
      <c r="B249" s="334"/>
      <c r="C249" s="334"/>
      <c r="D249" s="385"/>
      <c r="E249" s="342"/>
      <c r="F249" s="405"/>
    </row>
    <row r="250" spans="1:6" ht="19.5" customHeight="1">
      <c r="A250" s="334"/>
      <c r="B250" s="334"/>
      <c r="C250" s="334"/>
      <c r="D250" s="385"/>
      <c r="E250" s="342"/>
      <c r="F250" s="405"/>
    </row>
    <row r="251" spans="1:6" ht="19.5" customHeight="1">
      <c r="A251" s="334"/>
      <c r="B251" s="334"/>
      <c r="C251" s="334"/>
      <c r="D251" s="385"/>
      <c r="E251" s="342"/>
      <c r="F251" s="405"/>
    </row>
    <row r="252" spans="1:6" ht="19.5" customHeight="1">
      <c r="A252" s="334"/>
      <c r="B252" s="334"/>
      <c r="C252" s="334"/>
      <c r="D252" s="385"/>
      <c r="E252" s="342"/>
      <c r="F252" s="405"/>
    </row>
    <row r="253" spans="1:6" ht="19.5" customHeight="1">
      <c r="A253" s="334"/>
      <c r="B253" s="334"/>
      <c r="C253" s="334"/>
      <c r="D253" s="385"/>
      <c r="E253" s="342"/>
      <c r="F253" s="405"/>
    </row>
    <row r="254" spans="1:6" ht="19.5" customHeight="1">
      <c r="A254" s="334"/>
      <c r="B254" s="334"/>
      <c r="C254" s="334"/>
      <c r="D254" s="385"/>
      <c r="E254" s="342"/>
      <c r="F254" s="405"/>
    </row>
    <row r="255" spans="1:5" ht="19.5" customHeight="1">
      <c r="A255" s="334"/>
      <c r="B255" s="334"/>
      <c r="C255" s="334"/>
      <c r="D255" s="385"/>
      <c r="E255" s="342"/>
    </row>
    <row r="256" spans="1:5" ht="19.5" customHeight="1">
      <c r="A256" s="334"/>
      <c r="B256" s="334"/>
      <c r="C256" s="334"/>
      <c r="D256" s="385"/>
      <c r="E256" s="342"/>
    </row>
    <row r="257" spans="1:5" ht="19.5" customHeight="1">
      <c r="A257" s="334"/>
      <c r="B257" s="334"/>
      <c r="C257" s="334"/>
      <c r="D257" s="385"/>
      <c r="E257" s="342"/>
    </row>
    <row r="258" spans="1:5" ht="19.5" customHeight="1">
      <c r="A258" s="334"/>
      <c r="B258" s="334"/>
      <c r="C258" s="334"/>
      <c r="D258" s="385"/>
      <c r="E258" s="342"/>
    </row>
    <row r="259" spans="1:5" ht="19.5" customHeight="1">
      <c r="A259" s="334"/>
      <c r="B259" s="334"/>
      <c r="C259" s="334"/>
      <c r="D259" s="385"/>
      <c r="E259" s="342"/>
    </row>
    <row r="260" spans="1:5" ht="19.5" customHeight="1">
      <c r="A260" s="334"/>
      <c r="B260" s="334"/>
      <c r="C260" s="334"/>
      <c r="D260" s="385"/>
      <c r="E260" s="342"/>
    </row>
    <row r="261" spans="1:5" ht="19.5" customHeight="1">
      <c r="A261" s="334"/>
      <c r="B261" s="334"/>
      <c r="C261" s="334"/>
      <c r="D261" s="385"/>
      <c r="E261" s="342"/>
    </row>
    <row r="262" spans="1:5" ht="19.5" customHeight="1">
      <c r="A262" s="334"/>
      <c r="B262" s="334"/>
      <c r="C262" s="334"/>
      <c r="D262" s="385"/>
      <c r="E262" s="342"/>
    </row>
    <row r="263" spans="1:5" ht="19.5" customHeight="1">
      <c r="A263" s="334"/>
      <c r="B263" s="334"/>
      <c r="C263" s="334"/>
      <c r="D263" s="385"/>
      <c r="E263" s="342"/>
    </row>
    <row r="264" spans="1:5" ht="19.5" customHeight="1">
      <c r="A264" s="334"/>
      <c r="B264" s="334"/>
      <c r="C264" s="334"/>
      <c r="D264" s="385"/>
      <c r="E264" s="342"/>
    </row>
    <row r="265" spans="1:5" ht="19.5" customHeight="1">
      <c r="A265" s="334"/>
      <c r="B265" s="334"/>
      <c r="C265" s="334"/>
      <c r="D265" s="385"/>
      <c r="E265" s="342"/>
    </row>
    <row r="266" spans="1:5" ht="19.5" customHeight="1">
      <c r="A266" s="334"/>
      <c r="B266" s="334"/>
      <c r="C266" s="334"/>
      <c r="D266" s="385"/>
      <c r="E266" s="342"/>
    </row>
    <row r="267" spans="1:5" ht="19.5" customHeight="1">
      <c r="A267" s="334"/>
      <c r="B267" s="334"/>
      <c r="C267" s="334"/>
      <c r="D267" s="385"/>
      <c r="E267" s="342"/>
    </row>
    <row r="268" spans="1:5" ht="19.5" customHeight="1">
      <c r="A268" s="334"/>
      <c r="B268" s="334"/>
      <c r="C268" s="334"/>
      <c r="D268" s="385"/>
      <c r="E268" s="342"/>
    </row>
    <row r="269" spans="1:5" ht="19.5" customHeight="1">
      <c r="A269" s="334"/>
      <c r="B269" s="334"/>
      <c r="C269" s="334"/>
      <c r="D269" s="385"/>
      <c r="E269" s="342"/>
    </row>
    <row r="270" spans="1:5" ht="19.5" customHeight="1">
      <c r="A270" s="334"/>
      <c r="B270" s="334"/>
      <c r="C270" s="334"/>
      <c r="D270" s="385"/>
      <c r="E270" s="342"/>
    </row>
    <row r="271" spans="1:5" ht="19.5" customHeight="1">
      <c r="A271" s="334"/>
      <c r="B271" s="334"/>
      <c r="C271" s="334"/>
      <c r="D271" s="385"/>
      <c r="E271" s="342"/>
    </row>
    <row r="272" spans="1:5" ht="19.5" customHeight="1">
      <c r="A272" s="334"/>
      <c r="B272" s="334"/>
      <c r="C272" s="334"/>
      <c r="D272" s="385"/>
      <c r="E272" s="342"/>
    </row>
    <row r="273" spans="1:5" ht="19.5" customHeight="1">
      <c r="A273" s="334"/>
      <c r="B273" s="334"/>
      <c r="C273" s="334"/>
      <c r="D273" s="385"/>
      <c r="E273" s="342"/>
    </row>
    <row r="274" spans="1:5" ht="19.5" customHeight="1">
      <c r="A274" s="334"/>
      <c r="B274" s="334"/>
      <c r="C274" s="334"/>
      <c r="D274" s="385"/>
      <c r="E274" s="342"/>
    </row>
    <row r="275" spans="1:5" ht="19.5" customHeight="1">
      <c r="A275" s="334"/>
      <c r="B275" s="334"/>
      <c r="C275" s="334"/>
      <c r="D275" s="385"/>
      <c r="E275" s="342"/>
    </row>
    <row r="276" spans="1:5" ht="19.5" customHeight="1">
      <c r="A276" s="334"/>
      <c r="B276" s="334"/>
      <c r="C276" s="334"/>
      <c r="D276" s="385"/>
      <c r="E276" s="342"/>
    </row>
    <row r="277" spans="1:5" ht="19.5" customHeight="1">
      <c r="A277" s="334"/>
      <c r="B277" s="334"/>
      <c r="C277" s="334"/>
      <c r="D277" s="385"/>
      <c r="E277" s="342"/>
    </row>
    <row r="278" spans="1:5" ht="19.5" customHeight="1">
      <c r="A278" s="334"/>
      <c r="B278" s="334"/>
      <c r="C278" s="334"/>
      <c r="D278" s="385"/>
      <c r="E278" s="342"/>
    </row>
    <row r="279" spans="1:5" ht="19.5" customHeight="1">
      <c r="A279" s="334"/>
      <c r="B279" s="334"/>
      <c r="C279" s="334"/>
      <c r="D279" s="385"/>
      <c r="E279" s="342"/>
    </row>
    <row r="280" spans="1:5" ht="19.5" customHeight="1">
      <c r="A280" s="334"/>
      <c r="B280" s="334"/>
      <c r="C280" s="334"/>
      <c r="D280" s="385"/>
      <c r="E280" s="342"/>
    </row>
    <row r="281" spans="1:5" ht="19.5" customHeight="1">
      <c r="A281" s="334"/>
      <c r="B281" s="334"/>
      <c r="C281" s="334"/>
      <c r="D281" s="385"/>
      <c r="E281" s="342"/>
    </row>
    <row r="282" spans="1:5" ht="19.5" customHeight="1">
      <c r="A282" s="334"/>
      <c r="B282" s="334"/>
      <c r="C282" s="334"/>
      <c r="D282" s="385"/>
      <c r="E282" s="342"/>
    </row>
    <row r="283" spans="1:5" ht="19.5" customHeight="1">
      <c r="A283" s="334"/>
      <c r="B283" s="334"/>
      <c r="C283" s="334"/>
      <c r="D283" s="385"/>
      <c r="E283" s="342"/>
    </row>
    <row r="284" spans="1:5" ht="19.5" customHeight="1">
      <c r="A284" s="334"/>
      <c r="B284" s="334"/>
      <c r="C284" s="334"/>
      <c r="D284" s="385"/>
      <c r="E284" s="342"/>
    </row>
    <row r="285" spans="1:5" ht="19.5" customHeight="1">
      <c r="A285" s="334"/>
      <c r="B285" s="334"/>
      <c r="C285" s="334"/>
      <c r="D285" s="385"/>
      <c r="E285" s="342"/>
    </row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</sheetData>
  <sheetProtection password="CF53" sheet="1" formatRows="0" insertColumns="0" insertRows="0" insertHyperlinks="0" deleteColumns="0" deleteRows="0" sort="0" autoFilter="0" pivotTables="0"/>
  <mergeCells count="5">
    <mergeCell ref="F1:G1"/>
    <mergeCell ref="A3:G3"/>
    <mergeCell ref="A7:D7"/>
    <mergeCell ref="A136:D136"/>
    <mergeCell ref="A104:D104"/>
  </mergeCells>
  <printOptions horizontalCentered="1"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I18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244" sqref="I244"/>
      <selection pane="bottomLeft" activeCell="A85" sqref="A85:IV86"/>
    </sheetView>
  </sheetViews>
  <sheetFormatPr defaultColWidth="9.00390625" defaultRowHeight="12.75"/>
  <cols>
    <col min="1" max="1" width="55.125" style="464" customWidth="1"/>
    <col min="2" max="2" width="16.125" style="464" customWidth="1"/>
    <col min="3" max="3" width="15.125" style="464" customWidth="1"/>
    <col min="4" max="4" width="7.875" style="464" customWidth="1"/>
    <col min="5" max="5" width="7.75390625" style="464" customWidth="1"/>
    <col min="6" max="6" width="6.00390625" style="541" hidden="1" customWidth="1"/>
    <col min="7" max="7" width="13.625" style="464" hidden="1" customWidth="1"/>
    <col min="8" max="15" width="0" style="464" hidden="1" customWidth="1"/>
    <col min="16" max="16" width="3.25390625" style="464" customWidth="1"/>
    <col min="17" max="16384" width="9.125" style="464" customWidth="1"/>
  </cols>
  <sheetData>
    <row r="1" spans="1:6" ht="12.75">
      <c r="A1" s="463"/>
      <c r="B1" s="463"/>
      <c r="D1" s="1608" t="s">
        <v>665</v>
      </c>
      <c r="E1" s="1608"/>
      <c r="F1" s="487"/>
    </row>
    <row r="2" spans="1:6" ht="13.5" customHeight="1">
      <c r="A2" s="463"/>
      <c r="B2" s="463"/>
      <c r="F2" s="487"/>
    </row>
    <row r="3" spans="1:6" s="465" customFormat="1" ht="12.75">
      <c r="A3" s="1624" t="s">
        <v>130</v>
      </c>
      <c r="B3" s="1624"/>
      <c r="C3" s="1624"/>
      <c r="D3" s="1624"/>
      <c r="E3" s="1624"/>
      <c r="F3" s="504"/>
    </row>
    <row r="4" spans="4:6" s="465" customFormat="1" ht="13.5" thickBot="1">
      <c r="D4" s="466"/>
      <c r="E4" s="466" t="s">
        <v>1351</v>
      </c>
      <c r="F4" s="504"/>
    </row>
    <row r="5" spans="1:6" ht="26.25" customHeight="1">
      <c r="A5" s="467" t="s">
        <v>1297</v>
      </c>
      <c r="B5" s="468" t="s">
        <v>1354</v>
      </c>
      <c r="C5" s="469" t="s">
        <v>1355</v>
      </c>
      <c r="D5" s="470" t="s">
        <v>1217</v>
      </c>
      <c r="E5" s="471" t="s">
        <v>93</v>
      </c>
      <c r="F5" s="487"/>
    </row>
    <row r="6" spans="1:6" s="477" customFormat="1" ht="12.75" customHeight="1" thickBot="1">
      <c r="A6" s="472">
        <v>1</v>
      </c>
      <c r="B6" s="473">
        <v>2</v>
      </c>
      <c r="C6" s="474">
        <v>3</v>
      </c>
      <c r="D6" s="475">
        <v>4</v>
      </c>
      <c r="E6" s="476">
        <v>5</v>
      </c>
      <c r="F6" s="505"/>
    </row>
    <row r="7" spans="1:6" s="477" customFormat="1" ht="8.25" customHeight="1">
      <c r="A7" s="494"/>
      <c r="B7" s="495"/>
      <c r="C7" s="496"/>
      <c r="D7" s="496"/>
      <c r="E7" s="497"/>
      <c r="F7" s="505"/>
    </row>
    <row r="8" spans="1:6" ht="12.75">
      <c r="A8" s="498" t="s">
        <v>1019</v>
      </c>
      <c r="B8" s="499">
        <f>SUM(B10,B20,B33,B37,B39,B43)</f>
        <v>157876142</v>
      </c>
      <c r="C8" s="499">
        <f>SUM(C10,C20,C33,C37,C39,C43)</f>
        <v>61253493.42999999</v>
      </c>
      <c r="D8" s="500">
        <f>C8/B8*100</f>
        <v>38.79844836213441</v>
      </c>
      <c r="E8" s="501">
        <f>C8/$C$84*100</f>
        <v>59.237008118953725</v>
      </c>
      <c r="F8" s="487" t="s">
        <v>176</v>
      </c>
    </row>
    <row r="9" spans="1:6" ht="6.75" customHeight="1">
      <c r="A9" s="493"/>
      <c r="B9" s="488"/>
      <c r="C9" s="488"/>
      <c r="D9" s="489"/>
      <c r="E9" s="490"/>
      <c r="F9" s="487"/>
    </row>
    <row r="10" spans="1:8" ht="12.75">
      <c r="A10" s="493" t="s">
        <v>1020</v>
      </c>
      <c r="B10" s="488">
        <f>SUM(B11:B18)</f>
        <v>35117600</v>
      </c>
      <c r="C10" s="488">
        <f>SUM(C11:C18)</f>
        <v>17523138.019999996</v>
      </c>
      <c r="D10" s="489">
        <f aca="true" t="shared" si="0" ref="D10:D17">C10/B10*100</f>
        <v>49.8984498371187</v>
      </c>
      <c r="E10" s="490">
        <f aca="true" t="shared" si="1" ref="E10:E17">C10/$C$84*100</f>
        <v>16.94627050694709</v>
      </c>
      <c r="F10" s="487" t="s">
        <v>176</v>
      </c>
      <c r="G10" s="502">
        <f>SUM(C10,C20)</f>
        <v>23515172.199999996</v>
      </c>
      <c r="H10" s="464">
        <f>G10/C84*100</f>
        <v>22.741044935206315</v>
      </c>
    </row>
    <row r="11" spans="1:6" ht="12.75">
      <c r="A11" s="491" t="s">
        <v>1303</v>
      </c>
      <c r="B11" s="492">
        <f>SUM(6DOCHODY!E162+6DOCHODY!E172)</f>
        <v>30550000</v>
      </c>
      <c r="C11" s="492">
        <f>SUM(6DOCHODY!F162+6DOCHODY!F172)</f>
        <v>15954098.219999999</v>
      </c>
      <c r="D11" s="485">
        <f t="shared" si="0"/>
        <v>52.22290743044189</v>
      </c>
      <c r="E11" s="486">
        <f t="shared" si="1"/>
        <v>15.428884017345837</v>
      </c>
      <c r="F11" s="487" t="s">
        <v>770</v>
      </c>
    </row>
    <row r="12" spans="1:6" ht="12.75">
      <c r="A12" s="491" t="s">
        <v>1304</v>
      </c>
      <c r="B12" s="492">
        <f>SUM(6DOCHODY!E163,6DOCHODY!E173)</f>
        <v>62000</v>
      </c>
      <c r="C12" s="492">
        <f>SUM(6DOCHODY!F163,6DOCHODY!F173)</f>
        <v>39972.24</v>
      </c>
      <c r="D12" s="485">
        <f t="shared" si="0"/>
        <v>64.47135483870967</v>
      </c>
      <c r="E12" s="486">
        <f t="shared" si="1"/>
        <v>0.038656340607229375</v>
      </c>
      <c r="F12" s="487" t="s">
        <v>771</v>
      </c>
    </row>
    <row r="13" spans="1:6" ht="12.75">
      <c r="A13" s="491" t="s">
        <v>1305</v>
      </c>
      <c r="B13" s="492">
        <f>SUM(6DOCHODY!E164,6DOCHODY!E174)</f>
        <v>70600</v>
      </c>
      <c r="C13" s="492">
        <f>SUM(6DOCHODY!F164,6DOCHODY!F174)</f>
        <v>39385.66</v>
      </c>
      <c r="D13" s="485">
        <f t="shared" si="0"/>
        <v>55.78705382436261</v>
      </c>
      <c r="E13" s="486">
        <f t="shared" si="1"/>
        <v>0.03808907101529787</v>
      </c>
      <c r="F13" s="487" t="s">
        <v>772</v>
      </c>
    </row>
    <row r="14" spans="1:6" ht="12.75">
      <c r="A14" s="491" t="s">
        <v>1306</v>
      </c>
      <c r="B14" s="492">
        <f>SUM(6DOCHODY!E165,6DOCHODY!E175)</f>
        <v>520000</v>
      </c>
      <c r="C14" s="492">
        <f>SUM(6DOCHODY!F165,6DOCHODY!F175)</f>
        <v>304022.79</v>
      </c>
      <c r="D14" s="485">
        <f t="shared" si="0"/>
        <v>58.465921153846146</v>
      </c>
      <c r="E14" s="486">
        <f t="shared" si="1"/>
        <v>0.294014258960723</v>
      </c>
      <c r="F14" s="487" t="s">
        <v>773</v>
      </c>
    </row>
    <row r="15" spans="1:6" ht="25.5" customHeight="1">
      <c r="A15" s="483" t="s">
        <v>270</v>
      </c>
      <c r="B15" s="484">
        <f>SUM(6DOCHODY!E159)</f>
        <v>400000</v>
      </c>
      <c r="C15" s="484">
        <f>SUM(6DOCHODY!F159)</f>
        <v>99408.12</v>
      </c>
      <c r="D15" s="485">
        <f t="shared" si="0"/>
        <v>24.85203</v>
      </c>
      <c r="E15" s="486">
        <f t="shared" si="1"/>
        <v>0.09613557173289089</v>
      </c>
      <c r="F15" s="487" t="s">
        <v>774</v>
      </c>
    </row>
    <row r="16" spans="1:6" ht="12.75">
      <c r="A16" s="491" t="s">
        <v>1307</v>
      </c>
      <c r="B16" s="492">
        <f>SUM(6DOCHODY!E176)</f>
        <v>250000</v>
      </c>
      <c r="C16" s="492">
        <f>SUM(6DOCHODY!F176)</f>
        <v>50445.09</v>
      </c>
      <c r="D16" s="485">
        <f t="shared" si="0"/>
        <v>20.178036</v>
      </c>
      <c r="E16" s="486">
        <f t="shared" si="1"/>
        <v>0.048784420913172255</v>
      </c>
      <c r="F16" s="487" t="s">
        <v>775</v>
      </c>
    </row>
    <row r="17" spans="1:6" ht="12.75">
      <c r="A17" s="491" t="s">
        <v>1308</v>
      </c>
      <c r="B17" s="492">
        <f>SUM(6DOCHODY!E166,6DOCHODY!E180)</f>
        <v>3265000</v>
      </c>
      <c r="C17" s="492">
        <f>SUM(6DOCHODY!F166,6DOCHODY!F180)</f>
        <v>1035797.9</v>
      </c>
      <c r="D17" s="485">
        <f t="shared" si="0"/>
        <v>31.724284839203676</v>
      </c>
      <c r="E17" s="486">
        <f t="shared" si="1"/>
        <v>1.0016990897345988</v>
      </c>
      <c r="F17" s="487" t="s">
        <v>784</v>
      </c>
    </row>
    <row r="18" spans="1:6" ht="12.75">
      <c r="A18" s="491" t="s">
        <v>475</v>
      </c>
      <c r="B18" s="492">
        <f>SUM(6DOCHODY!E168,6DOCHODY!E181)</f>
        <v>0</v>
      </c>
      <c r="C18" s="492">
        <f>SUM(6DOCHODY!F168,6DOCHODY!F181)</f>
        <v>8</v>
      </c>
      <c r="D18" s="503" t="s">
        <v>144</v>
      </c>
      <c r="E18" s="486">
        <f>C18/$C$84*100</f>
        <v>7.736637347765225E-06</v>
      </c>
      <c r="F18" s="487" t="s">
        <v>785</v>
      </c>
    </row>
    <row r="19" spans="1:6" ht="6" customHeight="1">
      <c r="A19" s="493"/>
      <c r="B19" s="488"/>
      <c r="C19" s="488"/>
      <c r="D19" s="489"/>
      <c r="E19" s="490"/>
      <c r="F19" s="487"/>
    </row>
    <row r="20" spans="1:6" ht="12.75">
      <c r="A20" s="493" t="s">
        <v>1298</v>
      </c>
      <c r="B20" s="488">
        <f>SUM(B21:B31)</f>
        <v>20453298</v>
      </c>
      <c r="C20" s="488">
        <f>SUM(C21:C31)</f>
        <v>5992034.18</v>
      </c>
      <c r="D20" s="489">
        <f aca="true" t="shared" si="2" ref="D20:D31">C20/B20*100</f>
        <v>29.2961760005648</v>
      </c>
      <c r="E20" s="490">
        <f aca="true" t="shared" si="3" ref="E20:E31">C20/$C$84*100</f>
        <v>5.794774428259221</v>
      </c>
      <c r="F20" s="487" t="s">
        <v>176</v>
      </c>
    </row>
    <row r="21" spans="1:6" ht="12.75">
      <c r="A21" s="491" t="s">
        <v>1218</v>
      </c>
      <c r="B21" s="492">
        <f>SUM(6DOCHODY!E376)</f>
        <v>16000</v>
      </c>
      <c r="C21" s="492">
        <f>SUM(6DOCHODY!F376)</f>
        <v>2742.17</v>
      </c>
      <c r="D21" s="485">
        <f t="shared" si="2"/>
        <v>17.138562500000003</v>
      </c>
      <c r="E21" s="486">
        <f t="shared" si="3"/>
        <v>0.002651896854490171</v>
      </c>
      <c r="F21" s="487" t="s">
        <v>778</v>
      </c>
    </row>
    <row r="22" spans="1:6" ht="12.75">
      <c r="A22" s="491" t="s">
        <v>1309</v>
      </c>
      <c r="B22" s="492">
        <f>SUM(6DOCHODY!E185)</f>
        <v>500000</v>
      </c>
      <c r="C22" s="492">
        <f>SUM(6DOCHODY!F185)</f>
        <v>184429.84</v>
      </c>
      <c r="D22" s="485">
        <f t="shared" si="2"/>
        <v>36.885968</v>
      </c>
      <c r="E22" s="486">
        <f t="shared" si="3"/>
        <v>0.17835834852329557</v>
      </c>
      <c r="F22" s="487" t="s">
        <v>779</v>
      </c>
    </row>
    <row r="23" spans="1:6" ht="12.75">
      <c r="A23" s="491" t="s">
        <v>1310</v>
      </c>
      <c r="B23" s="492">
        <f>SUM(6DOCHODY!E489)</f>
        <v>687120</v>
      </c>
      <c r="C23" s="492">
        <f>SUM(6DOCHODY!F489)</f>
        <v>333657.1</v>
      </c>
      <c r="D23" s="485">
        <f t="shared" si="2"/>
        <v>48.55878158109209</v>
      </c>
      <c r="E23" s="486">
        <f t="shared" si="3"/>
        <v>0.32267299765087953</v>
      </c>
      <c r="F23" s="487" t="s">
        <v>780</v>
      </c>
    </row>
    <row r="24" spans="1:6" ht="12.75">
      <c r="A24" s="491" t="s">
        <v>694</v>
      </c>
      <c r="B24" s="492">
        <f>SUM(6DOCHODY!E177)</f>
        <v>80000</v>
      </c>
      <c r="C24" s="492">
        <f>SUM(6DOCHODY!F177)</f>
        <v>54454.31</v>
      </c>
      <c r="D24" s="485">
        <f t="shared" si="2"/>
        <v>68.0678875</v>
      </c>
      <c r="E24" s="486">
        <f t="shared" si="3"/>
        <v>0.05266165606159817</v>
      </c>
      <c r="F24" s="487" t="s">
        <v>776</v>
      </c>
    </row>
    <row r="25" spans="1:6" ht="12.75">
      <c r="A25" s="491" t="s">
        <v>1291</v>
      </c>
      <c r="B25" s="492">
        <f>SUM(6DOCHODY!E178)</f>
        <v>5300000</v>
      </c>
      <c r="C25" s="492">
        <f>SUM(6DOCHODY!F178)</f>
        <v>1977542.75</v>
      </c>
      <c r="D25" s="485">
        <f t="shared" si="2"/>
        <v>37.312127358490564</v>
      </c>
      <c r="E25" s="486">
        <f t="shared" si="3"/>
        <v>1.9124413870565435</v>
      </c>
      <c r="F25" s="487" t="s">
        <v>777</v>
      </c>
    </row>
    <row r="26" spans="1:6" ht="12.75">
      <c r="A26" s="491" t="s">
        <v>628</v>
      </c>
      <c r="B26" s="492">
        <f>SUM(6DOCHODY!E179)</f>
        <v>600000</v>
      </c>
      <c r="C26" s="492">
        <f>SUM(6DOCHODY!F179)</f>
        <v>279930.5</v>
      </c>
      <c r="D26" s="485">
        <f t="shared" si="2"/>
        <v>46.65508333333334</v>
      </c>
      <c r="E26" s="486">
        <f t="shared" si="3"/>
        <v>0.27071509513482417</v>
      </c>
      <c r="F26" s="487" t="s">
        <v>781</v>
      </c>
    </row>
    <row r="27" spans="1:6" ht="12.75">
      <c r="A27" s="491" t="s">
        <v>1317</v>
      </c>
      <c r="B27" s="492">
        <f>SUM(6DOCHODY!E186)</f>
        <v>7000</v>
      </c>
      <c r="C27" s="492">
        <f>SUM(6DOCHODY!F186)</f>
        <v>4711.61</v>
      </c>
      <c r="D27" s="485">
        <f t="shared" si="2"/>
        <v>67.30871428571427</v>
      </c>
      <c r="E27" s="486">
        <f t="shared" si="3"/>
        <v>0.004556502236763013</v>
      </c>
      <c r="F27" s="487" t="s">
        <v>782</v>
      </c>
    </row>
    <row r="28" spans="1:6" ht="12.75">
      <c r="A28" s="491" t="s">
        <v>1319</v>
      </c>
      <c r="B28" s="492">
        <f>SUM(6DOCHODY!E187)</f>
        <v>1700000</v>
      </c>
      <c r="C28" s="492">
        <f>SUM(6DOCHODY!F187)</f>
        <v>1328551.46</v>
      </c>
      <c r="D28" s="485">
        <f t="shared" si="2"/>
        <v>78.15008588235294</v>
      </c>
      <c r="E28" s="486">
        <f t="shared" si="3"/>
        <v>1.2848151054830022</v>
      </c>
      <c r="F28" s="487" t="s">
        <v>783</v>
      </c>
    </row>
    <row r="29" spans="1:6" ht="12.75">
      <c r="A29" s="491" t="s">
        <v>148</v>
      </c>
      <c r="B29" s="492">
        <f>SUM(6DOCHODY!E188,6DOCHODY!E490)</f>
        <v>4950000</v>
      </c>
      <c r="C29" s="492">
        <f>SUM(6DOCHODY!F188,6DOCHODY!F490)</f>
        <v>657860.79</v>
      </c>
      <c r="D29" s="485">
        <f t="shared" si="2"/>
        <v>13.290116969696971</v>
      </c>
      <c r="E29" s="486">
        <f t="shared" si="3"/>
        <v>0.636203794693042</v>
      </c>
      <c r="F29" s="487" t="s">
        <v>788</v>
      </c>
    </row>
    <row r="30" spans="1:6" ht="12.75">
      <c r="A30" s="491" t="s">
        <v>1320</v>
      </c>
      <c r="B30" s="492">
        <f>SUM(6DOCHODY!E190)</f>
        <v>10000</v>
      </c>
      <c r="C30" s="492">
        <f>SUM(6DOCHODY!F190)</f>
        <v>6921</v>
      </c>
      <c r="D30" s="485">
        <f t="shared" si="2"/>
        <v>69.21000000000001</v>
      </c>
      <c r="E30" s="486">
        <f t="shared" si="3"/>
        <v>0.006693158385485391</v>
      </c>
      <c r="F30" s="487" t="s">
        <v>786</v>
      </c>
    </row>
    <row r="31" spans="1:6" s="482" customFormat="1" ht="12.75">
      <c r="A31" s="478" t="s">
        <v>38</v>
      </c>
      <c r="B31" s="479">
        <f>SUM(6DOCHODY!E13,6DOCHODY!E31,6DOCHODY!E41,6DOCHODY!E78,6DOCHODY!E191,6DOCHODY!E204,6DOCHODY!E233,6DOCHODY!E238,6DOCHODY!E242,6DOCHODY!E285,6DOCHODY!E372,6DOCHODY!E434,6DOCHODY!E474,6DOCHODY!E491,6DOCHODY!E536,6DOCHODY!E591,6DOCHODY!E106,6DOCHODY!E170,6DOCHODY!E513)</f>
        <v>6603178</v>
      </c>
      <c r="C31" s="479">
        <f>SUM(6DOCHODY!F13,6DOCHODY!F31,6DOCHODY!F41,6DOCHODY!F78,6DOCHODY!F191,6DOCHODY!F204,6DOCHODY!F233,6DOCHODY!F238,6DOCHODY!F242,6DOCHODY!F285,6DOCHODY!F372,6DOCHODY!F434,6DOCHODY!F474,6DOCHODY!F491,6DOCHODY!F536,6DOCHODY!F591,6DOCHODY!F106,6DOCHODY!F170,6DOCHODY!F513)</f>
        <v>1161232.65</v>
      </c>
      <c r="D31" s="480">
        <f t="shared" si="2"/>
        <v>17.58596618173855</v>
      </c>
      <c r="E31" s="481">
        <f t="shared" si="3"/>
        <v>1.1230044861792978</v>
      </c>
      <c r="F31" s="506" t="s">
        <v>787</v>
      </c>
    </row>
    <row r="32" spans="1:6" ht="4.5" customHeight="1">
      <c r="A32" s="493"/>
      <c r="B32" s="488"/>
      <c r="C32" s="488"/>
      <c r="D32" s="489"/>
      <c r="E32" s="490"/>
      <c r="F32" s="487"/>
    </row>
    <row r="33" spans="1:6" ht="25.5">
      <c r="A33" s="507" t="s">
        <v>329</v>
      </c>
      <c r="B33" s="488">
        <f>B34+B35</f>
        <v>36880568</v>
      </c>
      <c r="C33" s="488">
        <f>C34+C35</f>
        <v>15305831.15</v>
      </c>
      <c r="D33" s="489">
        <f>C33/B33*100</f>
        <v>41.501072190645225</v>
      </c>
      <c r="E33" s="490">
        <f>C33/$C$84*100</f>
        <v>14.801958114209796</v>
      </c>
      <c r="F33" s="487" t="s">
        <v>176</v>
      </c>
    </row>
    <row r="34" spans="1:6" ht="12.75">
      <c r="A34" s="491" t="s">
        <v>1321</v>
      </c>
      <c r="B34" s="492">
        <f>SUM(6DOCHODY!E195,6DOCHODY!E494)</f>
        <v>35295568</v>
      </c>
      <c r="C34" s="492">
        <f>SUM(6DOCHODY!F195,6DOCHODY!F494)</f>
        <v>14726475</v>
      </c>
      <c r="D34" s="485">
        <f>C34/B34*100</f>
        <v>41.72329795060955</v>
      </c>
      <c r="E34" s="486">
        <f>C34/$C$84*100</f>
        <v>14.24167456074136</v>
      </c>
      <c r="F34" s="487" t="s">
        <v>768</v>
      </c>
    </row>
    <row r="35" spans="1:6" ht="12.75">
      <c r="A35" s="491" t="s">
        <v>1322</v>
      </c>
      <c r="B35" s="492">
        <f>SUM(6DOCHODY!E196,6DOCHODY!E495)</f>
        <v>1585000</v>
      </c>
      <c r="C35" s="492">
        <f>SUM(6DOCHODY!F196,6DOCHODY!F495)</f>
        <v>579356.1499999999</v>
      </c>
      <c r="D35" s="485">
        <f>C35/B35*100</f>
        <v>36.55243848580441</v>
      </c>
      <c r="E35" s="486">
        <f>C35/$C$84*100</f>
        <v>0.5602835534684338</v>
      </c>
      <c r="F35" s="487" t="s">
        <v>769</v>
      </c>
    </row>
    <row r="36" spans="1:6" ht="3" customHeight="1">
      <c r="A36" s="493"/>
      <c r="B36" s="488"/>
      <c r="C36" s="488"/>
      <c r="D36" s="489"/>
      <c r="E36" s="490"/>
      <c r="F36" s="487"/>
    </row>
    <row r="37" spans="1:6" ht="12.75">
      <c r="A37" s="493" t="s">
        <v>598</v>
      </c>
      <c r="B37" s="488">
        <f>SUM(6DOCHODY!E14,6DOCHODY!E32,6DOCHODY!E42,6DOCHODY!E51,6DOCHODY!E75,6DOCHODY!E79,6DOCHODY!E80,6DOCHODY!E81,6DOCHODY!E107,6DOCHODY!E109,6DOCHODY!E206,6DOCHODY!E353,6DOCHODY!E379,6DOCHODY!E380,6DOCHODY!E435,6DOCHODY!E438,6DOCHODY!E475)</f>
        <v>47774203</v>
      </c>
      <c r="C37" s="488">
        <f>SUM(6DOCHODY!F14,6DOCHODY!F32,6DOCHODY!F42,6DOCHODY!F51,6DOCHODY!F75,6DOCHODY!F79,6DOCHODY!F80,6DOCHODY!F81,6DOCHODY!F107,6DOCHODY!F109,6DOCHODY!F206,6DOCHODY!F353,6DOCHODY!F379,6DOCHODY!F380,6DOCHODY!F435,6DOCHODY!F438,6DOCHODY!F475)</f>
        <v>13694924.819999998</v>
      </c>
      <c r="D37" s="489">
        <f>C37/B37*100</f>
        <v>28.665940947251382</v>
      </c>
      <c r="E37" s="490">
        <f>C37/$C$84*100</f>
        <v>13.244083354656116</v>
      </c>
      <c r="F37" s="487" t="s">
        <v>789</v>
      </c>
    </row>
    <row r="38" spans="1:6" ht="3" customHeight="1">
      <c r="A38" s="493"/>
      <c r="B38" s="488"/>
      <c r="C38" s="488"/>
      <c r="D38" s="489"/>
      <c r="E38" s="490"/>
      <c r="F38" s="487"/>
    </row>
    <row r="39" spans="1:6" ht="15.75" customHeight="1">
      <c r="A39" s="493" t="s">
        <v>1175</v>
      </c>
      <c r="B39" s="488">
        <f>SUM(B40,B41)</f>
        <v>495851</v>
      </c>
      <c r="C39" s="488">
        <f>SUM(C40,C41)</f>
        <v>348056.68</v>
      </c>
      <c r="D39" s="513">
        <f>C39/B39*100</f>
        <v>70.19380418714492</v>
      </c>
      <c r="E39" s="514">
        <f>C39/$C$84*100</f>
        <v>0.3365985387033962</v>
      </c>
      <c r="F39" s="487" t="s">
        <v>176</v>
      </c>
    </row>
    <row r="40" spans="1:6" s="508" customFormat="1" ht="25.5" customHeight="1">
      <c r="A40" s="483" t="s">
        <v>1176</v>
      </c>
      <c r="B40" s="484">
        <f>SUM(6DOCHODY!E207,6DOCHODY!E227,6DOCHODY!E270,6DOCHODY!E308,6DOCHODY!E329,6DOCHODY!E337)</f>
        <v>86351</v>
      </c>
      <c r="C40" s="484">
        <f>SUM(6DOCHODY!F207,6DOCHODY!F227,6DOCHODY!F270,6DOCHODY!F308,6DOCHODY!F329,6DOCHODY!F337)</f>
        <v>143604.42</v>
      </c>
      <c r="D40" s="485">
        <f>C40/B40*100</f>
        <v>166.30313487973504</v>
      </c>
      <c r="E40" s="486">
        <f>C40/$C$84*100</f>
        <v>0.13887691488452045</v>
      </c>
      <c r="F40" s="487" t="s">
        <v>766</v>
      </c>
    </row>
    <row r="41" spans="1:6" s="508" customFormat="1" ht="25.5" customHeight="1">
      <c r="A41" s="483" t="s">
        <v>1179</v>
      </c>
      <c r="B41" s="484">
        <f>SUM(6DOCHODY!E15,6DOCHODY!E33,6DOCHODY!E43,6DOCHODY!E52,6DOCHODY!E82,6DOCHODY!E100,6DOCHODY!E110,6DOCHODY!E111,6DOCHODY!E160,6DOCHODY!E169,6DOCHODY!E182,6DOCHODY!E183,6DOCHODY!E192,6DOCHODY!E193,6DOCHODY!E243,6DOCHODY!E251,6DOCHODY!E255,6DOCHODY!E259,6DOCHODY!E286,6DOCHODY!E316,6DOCHODY!E335,6DOCHODY!E367,6DOCHODY!E373,6DOCHODY!E381,6DOCHODY!E390,6DOCHODY!E416,6DOCHODY!E439,6DOCHODY!E461,6DOCHODY!E476,6DOCHODY!E492)+6DOCHODY!E336+6DOCHODY!E400+6DOCHODY!E524</f>
        <v>409500</v>
      </c>
      <c r="C41" s="484">
        <f>SUM(6DOCHODY!F15,6DOCHODY!F33,6DOCHODY!F43,6DOCHODY!F52,6DOCHODY!F82,6DOCHODY!F100,6DOCHODY!F110,6DOCHODY!F111,6DOCHODY!F160,6DOCHODY!F169,6DOCHODY!F182,6DOCHODY!F183,6DOCHODY!F192,6DOCHODY!F193,6DOCHODY!F243,6DOCHODY!F251,6DOCHODY!F255,6DOCHODY!F259,6DOCHODY!F286,6DOCHODY!F316,6DOCHODY!F335,6DOCHODY!F367,6DOCHODY!F373,6DOCHODY!F381,6DOCHODY!F390,6DOCHODY!F416,6DOCHODY!F439,6DOCHODY!F461,6DOCHODY!F476,6DOCHODY!F492)+6DOCHODY!F336+6DOCHODY!F400+6DOCHODY!F524</f>
        <v>204452.25999999998</v>
      </c>
      <c r="D41" s="485">
        <f>C41/B41*100</f>
        <v>49.92729181929182</v>
      </c>
      <c r="E41" s="486">
        <f>C41/$C$84*100</f>
        <v>0.19772162381887579</v>
      </c>
      <c r="F41" s="487" t="s">
        <v>767</v>
      </c>
    </row>
    <row r="42" spans="1:6" ht="2.25" customHeight="1">
      <c r="A42" s="493"/>
      <c r="B42" s="488"/>
      <c r="C42" s="488"/>
      <c r="D42" s="489"/>
      <c r="E42" s="490"/>
      <c r="F42" s="487"/>
    </row>
    <row r="43" spans="1:6" ht="18" customHeight="1">
      <c r="A43" s="507" t="s">
        <v>1177</v>
      </c>
      <c r="B43" s="509">
        <f>SUM(B44,B45,B46,B47,B48,B49,B50,B51,B52)</f>
        <v>17154622</v>
      </c>
      <c r="C43" s="509">
        <f>SUM(C44,C45,C46,C47,C48,C49,C50,C51,C52)</f>
        <v>8389508.58</v>
      </c>
      <c r="D43" s="489">
        <f aca="true" t="shared" si="4" ref="D43:D52">C43/B43*100</f>
        <v>48.90523720079638</v>
      </c>
      <c r="E43" s="490">
        <f aca="true" t="shared" si="5" ref="E43:E52">C43/$C$84*100</f>
        <v>8.113323176178099</v>
      </c>
      <c r="F43" s="487" t="s">
        <v>176</v>
      </c>
    </row>
    <row r="44" spans="1:6" s="482" customFormat="1" ht="14.25" customHeight="1">
      <c r="A44" s="478" t="s">
        <v>370</v>
      </c>
      <c r="B44" s="510">
        <f>SUM(6DOCHODY!E21,6DOCHODY!E29,6DOCHODY!E30,6DOCHODY!E40,6DOCHODY!E50,6DOCHODY!E57,6DOCHODY!E76,6DOCHODY!E77,6DOCHODY!E87,6DOCHODY!E93,6DOCHODY!E95,6DOCHODY!E98,6DOCHODY!E117,6DOCHODY!E118,6DOCHODY!E152,6DOCHODY!E189,6DOCHODY!E203,6DOCHODY!E225,6DOCHODY!E232,6DOCHODY!E241,6DOCHODY!E269,6DOCHODY!E321,6DOCHODY!E358,6DOCHODY!E370,6DOCHODY!E371,6DOCHODY!E378,6DOCHODY!E393,6DOCHODY!E394,6DOCHODY!E407,6DOCHODY!E408)+6DOCHODY!E217+6DOCHODY!E427+6DOCHODY!E432+6DOCHODY!E433+6DOCHODY!E459</f>
        <v>356000</v>
      </c>
      <c r="C44" s="510">
        <f>SUM(6DOCHODY!F21,6DOCHODY!F29,6DOCHODY!F30,6DOCHODY!F40,6DOCHODY!F50,6DOCHODY!F57,6DOCHODY!F76,6DOCHODY!F77,6DOCHODY!F87,6DOCHODY!F93,6DOCHODY!F95,6DOCHODY!F98,6DOCHODY!F117,6DOCHODY!F118,6DOCHODY!F152,6DOCHODY!F189,6DOCHODY!F203,6DOCHODY!F225,6DOCHODY!F232,6DOCHODY!F241,6DOCHODY!F269,6DOCHODY!F321,6DOCHODY!F358,6DOCHODY!F370,6DOCHODY!F371,6DOCHODY!F378,6DOCHODY!F393,6DOCHODY!F394,6DOCHODY!F407,6DOCHODY!F408)+6DOCHODY!F217+6DOCHODY!F427+6DOCHODY!F432+6DOCHODY!F433+6DOCHODY!F459</f>
        <v>449509.63</v>
      </c>
      <c r="D44" s="480">
        <f t="shared" si="4"/>
        <v>126.26675</v>
      </c>
      <c r="E44" s="481">
        <f t="shared" si="5"/>
        <v>0.4347116239547659</v>
      </c>
      <c r="F44" s="506" t="s">
        <v>800</v>
      </c>
    </row>
    <row r="45" spans="1:6" s="482" customFormat="1" ht="14.25" customHeight="1">
      <c r="A45" s="511" t="s">
        <v>1324</v>
      </c>
      <c r="B45" s="510">
        <f>SUM(6DOCHODY!E99,6DOCHODY!E108,6DOCHODY!E119,6DOCHODY!E205,6DOCHODY!E226,6DOCHODY!E315,6DOCHODY!E275,6DOCHODY!E328,6DOCHODY!E436,6DOCHODY!E460,6DOCHODY!E551)</f>
        <v>2923514</v>
      </c>
      <c r="C45" s="510">
        <f>SUM(6DOCHODY!F99,6DOCHODY!F108,6DOCHODY!F119,6DOCHODY!F205,6DOCHODY!F226,6DOCHODY!F315,6DOCHODY!F275,6DOCHODY!F328,6DOCHODY!F436,6DOCHODY!F460,6DOCHODY!F551)</f>
        <v>1712495.08</v>
      </c>
      <c r="D45" s="480">
        <f t="shared" si="4"/>
        <v>58.57659925692163</v>
      </c>
      <c r="E45" s="481">
        <f t="shared" si="5"/>
        <v>1.6561191742240249</v>
      </c>
      <c r="F45" s="506" t="s">
        <v>799</v>
      </c>
    </row>
    <row r="46" spans="1:6" s="512" customFormat="1" ht="14.25" customHeight="1">
      <c r="A46" s="511" t="s">
        <v>89</v>
      </c>
      <c r="B46" s="480">
        <f>SUM(6DOCHODY!E113,6DOCHODY!E290,6DOCHODY!E477)</f>
        <v>971550</v>
      </c>
      <c r="C46" s="480">
        <f>SUM(6DOCHODY!F113,6DOCHODY!F290,6DOCHODY!F477)</f>
        <v>1121501.1099999999</v>
      </c>
      <c r="D46" s="480">
        <f t="shared" si="4"/>
        <v>115.43421439967061</v>
      </c>
      <c r="E46" s="481">
        <f t="shared" si="5"/>
        <v>1.0845809216482694</v>
      </c>
      <c r="F46" s="506" t="s">
        <v>1153</v>
      </c>
    </row>
    <row r="47" spans="1:6" s="512" customFormat="1" ht="14.25" customHeight="1">
      <c r="A47" s="511" t="s">
        <v>1484</v>
      </c>
      <c r="B47" s="480">
        <f>SUM(6DOCHODY!E560)</f>
        <v>66200</v>
      </c>
      <c r="C47" s="480">
        <f>SUM(6DOCHODY!F560)</f>
        <v>36000</v>
      </c>
      <c r="D47" s="480">
        <f t="shared" si="4"/>
        <v>54.38066465256798</v>
      </c>
      <c r="E47" s="481">
        <f t="shared" si="5"/>
        <v>0.034814868064943515</v>
      </c>
      <c r="F47" s="506" t="s">
        <v>798</v>
      </c>
    </row>
    <row r="48" spans="1:6" s="482" customFormat="1" ht="13.5" customHeight="1">
      <c r="A48" s="511" t="s">
        <v>1326</v>
      </c>
      <c r="B48" s="479">
        <f>SUM(6DOCHODY!E36,6DOCHODY!E37,6DOCHODY!E44,6DOCHODY!E46,6DOCHODY!E54,6DOCHODY!E63,6DOCHODY!E90,6DOCHODY!E128,6DOCHODY!E129,6DOCHODY!E147,6DOCHODY!E156,6DOCHODY!E221,6DOCHODY!E236,6DOCHODY!E247,6DOCHODY!E262,6DOCHODY!E325,6DOCHODY!E345,6DOCHODY!E362,6DOCHODY!E383,6DOCHODY!E397,6DOCHODY!E403,6DOCHODY!E411,6DOCHODY!E429,6DOCHODY!E444,6DOCHODY!E445,6DOCHODY!E510)</f>
        <v>8503897</v>
      </c>
      <c r="C48" s="479">
        <f>SUM(6DOCHODY!F36,6DOCHODY!F37,6DOCHODY!F44,6DOCHODY!F46,6DOCHODY!F54,6DOCHODY!F63,6DOCHODY!F90,6DOCHODY!F128,6DOCHODY!F129,6DOCHODY!F147,6DOCHODY!F156,6DOCHODY!F221,6DOCHODY!F236,6DOCHODY!F247,6DOCHODY!F262,6DOCHODY!F325,6DOCHODY!F345,6DOCHODY!F362,6DOCHODY!F383,6DOCHODY!F397,6DOCHODY!F403,6DOCHODY!F411,6DOCHODY!F429,6DOCHODY!F444,6DOCHODY!F445,6DOCHODY!F510)</f>
        <v>3884127.22</v>
      </c>
      <c r="D48" s="480">
        <f t="shared" si="4"/>
        <v>45.674673858349884</v>
      </c>
      <c r="E48" s="481">
        <f t="shared" si="5"/>
        <v>3.75626046421544</v>
      </c>
      <c r="F48" s="506" t="s">
        <v>797</v>
      </c>
    </row>
    <row r="49" spans="1:6" s="482" customFormat="1" ht="13.5" customHeight="1">
      <c r="A49" s="511" t="s">
        <v>1245</v>
      </c>
      <c r="B49" s="479">
        <f>SUM(6DOCHODY!E69,6DOCHODY!E230,6DOCHODY!E253,6DOCHODY!E257,6DOCHODY!E261,6DOCHODY!E281,6DOCHODY!E291,6DOCHODY!E296,6DOCHODY!E301,6DOCHODY!E306,6DOCHODY!E344,6DOCHODY!E388,6DOCHODY!E391,6DOCHODY!E418,6DOCHODY!E525,6DOCHODY!E528,6DOCHODY!E532,6DOCHODY!E541,6DOCHODY!E544)</f>
        <v>90000</v>
      </c>
      <c r="C49" s="479">
        <f>SUM(6DOCHODY!F69,6DOCHODY!F230,6DOCHODY!F253,6DOCHODY!F257,6DOCHODY!F261,6DOCHODY!F281,6DOCHODY!F291,6DOCHODY!F296,6DOCHODY!F301,6DOCHODY!F306,6DOCHODY!F344,6DOCHODY!F388,6DOCHODY!F391,6DOCHODY!F418,6DOCHODY!F525,6DOCHODY!F528,6DOCHODY!F532,6DOCHODY!F541,6DOCHODY!F544)</f>
        <v>101421.40999999999</v>
      </c>
      <c r="D49" s="480">
        <f t="shared" si="4"/>
        <v>112.69045555555554</v>
      </c>
      <c r="E49" s="481">
        <f t="shared" si="5"/>
        <v>0.09808258355862617</v>
      </c>
      <c r="F49" s="506" t="s">
        <v>796</v>
      </c>
    </row>
    <row r="50" spans="1:6" s="482" customFormat="1" ht="27" customHeight="1">
      <c r="A50" s="478" t="s">
        <v>691</v>
      </c>
      <c r="B50" s="479">
        <f>6DOCHODY!E211</f>
        <v>0</v>
      </c>
      <c r="C50" s="479">
        <f>6DOCHODY!F211</f>
        <v>169.32</v>
      </c>
      <c r="D50" s="515" t="s">
        <v>144</v>
      </c>
      <c r="E50" s="481">
        <f t="shared" si="5"/>
        <v>0.00016374592946545097</v>
      </c>
      <c r="F50" s="506" t="s">
        <v>795</v>
      </c>
    </row>
    <row r="51" spans="1:6" s="482" customFormat="1" ht="27" customHeight="1">
      <c r="A51" s="478" t="s">
        <v>793</v>
      </c>
      <c r="B51" s="479">
        <f>6DOCHODY!E68</f>
        <v>191100</v>
      </c>
      <c r="C51" s="479">
        <f>6DOCHODY!F68</f>
        <v>200000</v>
      </c>
      <c r="D51" s="480">
        <f t="shared" si="4"/>
        <v>104.65724751439036</v>
      </c>
      <c r="E51" s="481">
        <f t="shared" si="5"/>
        <v>0.19341593369413063</v>
      </c>
      <c r="F51" s="506" t="s">
        <v>794</v>
      </c>
    </row>
    <row r="52" spans="1:6" s="482" customFormat="1" ht="13.5" customHeight="1">
      <c r="A52" s="511" t="s">
        <v>353</v>
      </c>
      <c r="B52" s="479">
        <f>SUM(6DOCHODY!E18,6DOCHODY!E27,6DOCHODY!E34,6DOCHODY!E53,6DOCHODY!E58,6DOCHODY!E83,6DOCHODY!E88,6DOCHODY!E101,6DOCHODY!E120,6DOCHODY!E123,6DOCHODY!E142,6DOCHODY!E154,6DOCHODY!E112,6DOCHODY!E209,6DOCHODY!E213,6DOCHODY!E214,6DOCHODY!E234,6DOCHODY!E239,6DOCHODY!E252,6DOCHODY!E256,6DOCHODY!E260,6DOCHODY!E271,6DOCHODY!E273,6DOCHODY!E276,6DOCHODY!E279,6DOCHODY!E287,6DOCHODY!E293,6DOCHODY!E298,6DOCHODY!E303,6DOCHODY!E309)+6DOCHODY!E313+6DOCHODY!E330+6DOCHODY!E354+6DOCHODY!E365+6DOCHODY!E368+6DOCHODY!E374+6DOCHODY!E382+6DOCHODY!E387+6DOCHODY!E401+6DOCHODY!E402+6DOCHODY!E409+6DOCHODY!E417+6DOCHODY!E440+6DOCHODY!E531+6DOCHODY!E537+6DOCHODY!E558+6DOCHODY!E587+6DOCHODY!E589+6DOCHODY!E96+6DOCHODY!E333+6DOCHODY!E208+6DOCHODY!E228+6DOCHODY!E437+6DOCHODY!E462+6DOCHODY!E514+6DOCHODY!E548+6DOCHODY!E540+6DOCHODY!E582</f>
        <v>4052361</v>
      </c>
      <c r="C52" s="479">
        <f>SUM(6DOCHODY!F18,6DOCHODY!F27,6DOCHODY!F34,6DOCHODY!F53,6DOCHODY!F58,6DOCHODY!F83,6DOCHODY!F88,6DOCHODY!F101,6DOCHODY!F120,6DOCHODY!F123,6DOCHODY!F142,6DOCHODY!F154,6DOCHODY!F112,6DOCHODY!F209,6DOCHODY!F213,6DOCHODY!F214,6DOCHODY!F234,6DOCHODY!F239,6DOCHODY!F252,6DOCHODY!F256,6DOCHODY!F260,6DOCHODY!F271,6DOCHODY!F273,6DOCHODY!F276,6DOCHODY!F279,6DOCHODY!F287,6DOCHODY!F293,6DOCHODY!F298,6DOCHODY!F303,6DOCHODY!F309)+6DOCHODY!F313+6DOCHODY!F330+6DOCHODY!F354+6DOCHODY!F365+6DOCHODY!F368+6DOCHODY!F374+6DOCHODY!F382+6DOCHODY!F387+6DOCHODY!F401+6DOCHODY!F402+6DOCHODY!F409+6DOCHODY!F417+6DOCHODY!F440+6DOCHODY!F531+6DOCHODY!F537+6DOCHODY!F558+6DOCHODY!F587+6DOCHODY!F589+6DOCHODY!F96+6DOCHODY!F333+6DOCHODY!F208+6DOCHODY!F228+6DOCHODY!F437+6DOCHODY!F462+6DOCHODY!F514+6DOCHODY!F548+6DOCHODY!F540+6DOCHODY!F582</f>
        <v>884284.8099999999</v>
      </c>
      <c r="D52" s="480">
        <f t="shared" si="4"/>
        <v>21.82147172969042</v>
      </c>
      <c r="E52" s="481">
        <f t="shared" si="5"/>
        <v>0.8551738608884344</v>
      </c>
      <c r="F52" s="506" t="s">
        <v>801</v>
      </c>
    </row>
    <row r="53" spans="1:6" s="544" customFormat="1" ht="13.5" customHeight="1">
      <c r="A53" s="542"/>
      <c r="B53" s="543"/>
      <c r="C53" s="543"/>
      <c r="D53" s="485"/>
      <c r="E53" s="486"/>
      <c r="F53" s="487"/>
    </row>
    <row r="54" spans="1:6" s="465" customFormat="1" ht="12.75">
      <c r="A54" s="516" t="s">
        <v>1302</v>
      </c>
      <c r="B54" s="499">
        <f>SUM(B55,B56,B60,B61)</f>
        <v>60452641</v>
      </c>
      <c r="C54" s="499">
        <f>SUM(C55,C56,C60,C61)</f>
        <v>28723664</v>
      </c>
      <c r="D54" s="500">
        <f aca="true" t="shared" si="6" ref="D54:D60">C54/B54*100</f>
        <v>47.51432447756914</v>
      </c>
      <c r="E54" s="501">
        <f aca="true" t="shared" si="7" ref="E54:E61">C54/$C$84*100</f>
        <v>27.778071458382435</v>
      </c>
      <c r="F54" s="504" t="s">
        <v>176</v>
      </c>
    </row>
    <row r="55" spans="1:6" ht="12.75">
      <c r="A55" s="528" t="s">
        <v>1327</v>
      </c>
      <c r="B55" s="488">
        <f>SUM(6DOCHODY!E199,6DOCHODY!E498)</f>
        <v>34643694</v>
      </c>
      <c r="C55" s="488">
        <f>SUM(6DOCHODY!F199,6DOCHODY!F498)</f>
        <v>21319192</v>
      </c>
      <c r="D55" s="489">
        <f t="shared" si="6"/>
        <v>61.53844910418618</v>
      </c>
      <c r="E55" s="490">
        <f t="shared" si="7"/>
        <v>20.6173571314222</v>
      </c>
      <c r="F55" s="487" t="s">
        <v>792</v>
      </c>
    </row>
    <row r="56" spans="1:6" ht="12.75">
      <c r="A56" s="528" t="s">
        <v>1328</v>
      </c>
      <c r="B56" s="488">
        <f>SUM(B57,B58,B59)</f>
        <v>22000000</v>
      </c>
      <c r="C56" s="488">
        <f>SUM(C57,C58,C59)</f>
        <v>5500000</v>
      </c>
      <c r="D56" s="489">
        <f t="shared" si="6"/>
        <v>25</v>
      </c>
      <c r="E56" s="490">
        <f t="shared" si="7"/>
        <v>5.318938176588592</v>
      </c>
      <c r="F56" s="487" t="s">
        <v>176</v>
      </c>
    </row>
    <row r="57" spans="1:6" s="520" customFormat="1" ht="15" customHeight="1">
      <c r="A57" s="521" t="s">
        <v>1188</v>
      </c>
      <c r="B57" s="522">
        <f>SUM(6DOCHODY!E500)</f>
        <v>22000000</v>
      </c>
      <c r="C57" s="522">
        <f>SUM(6DOCHODY!F500)</f>
        <v>5500000</v>
      </c>
      <c r="D57" s="485">
        <f t="shared" si="6"/>
        <v>25</v>
      </c>
      <c r="E57" s="486">
        <f t="shared" si="7"/>
        <v>5.318938176588592</v>
      </c>
      <c r="F57" s="519" t="s">
        <v>791</v>
      </c>
    </row>
    <row r="58" spans="1:6" s="520" customFormat="1" ht="15" customHeight="1" hidden="1">
      <c r="A58" s="521" t="s">
        <v>575</v>
      </c>
      <c r="B58" s="522">
        <f>SUM(6DOCHODY!E201)</f>
        <v>0</v>
      </c>
      <c r="C58" s="522">
        <f>SUM(6DOCHODY!F201)</f>
        <v>0</v>
      </c>
      <c r="D58" s="485" t="e">
        <f t="shared" si="6"/>
        <v>#DIV/0!</v>
      </c>
      <c r="E58" s="486">
        <f t="shared" si="7"/>
        <v>0</v>
      </c>
      <c r="F58" s="519"/>
    </row>
    <row r="59" spans="1:6" s="520" customFormat="1" ht="15" customHeight="1" hidden="1">
      <c r="A59" s="521" t="s">
        <v>1189</v>
      </c>
      <c r="B59" s="522">
        <f>SUM(6DOCHODY!E501)</f>
        <v>0</v>
      </c>
      <c r="C59" s="522">
        <f>SUM(6DOCHODY!F501)</f>
        <v>0</v>
      </c>
      <c r="D59" s="485" t="e">
        <f t="shared" si="6"/>
        <v>#DIV/0!</v>
      </c>
      <c r="E59" s="486">
        <f t="shared" si="7"/>
        <v>0</v>
      </c>
      <c r="F59" s="519"/>
    </row>
    <row r="60" spans="1:6" s="520" customFormat="1" ht="12.75">
      <c r="A60" s="529" t="s">
        <v>471</v>
      </c>
      <c r="B60" s="525">
        <f>SUM(6DOCHODY!E506)</f>
        <v>3808947</v>
      </c>
      <c r="C60" s="525">
        <f>SUM(6DOCHODY!F506)</f>
        <v>1904472</v>
      </c>
      <c r="D60" s="489">
        <f t="shared" si="6"/>
        <v>49.99996061903723</v>
      </c>
      <c r="E60" s="490">
        <f t="shared" si="7"/>
        <v>1.8417761503716417</v>
      </c>
      <c r="F60" s="487" t="s">
        <v>792</v>
      </c>
    </row>
    <row r="61" spans="1:6" s="520" customFormat="1" ht="12.75">
      <c r="A61" s="529" t="s">
        <v>1187</v>
      </c>
      <c r="B61" s="530">
        <f>6DOCHODY!E503</f>
        <v>0</v>
      </c>
      <c r="C61" s="530">
        <f>6DOCHODY!F503</f>
        <v>0</v>
      </c>
      <c r="D61" s="1537" t="s">
        <v>144</v>
      </c>
      <c r="E61" s="490">
        <f t="shared" si="7"/>
        <v>0</v>
      </c>
      <c r="F61" s="487" t="s">
        <v>792</v>
      </c>
    </row>
    <row r="62" spans="1:6" s="520" customFormat="1" ht="11.25" customHeight="1">
      <c r="A62" s="529"/>
      <c r="B62" s="525"/>
      <c r="C62" s="525"/>
      <c r="D62" s="489"/>
      <c r="E62" s="490"/>
      <c r="F62" s="519"/>
    </row>
    <row r="63" spans="1:6" s="520" customFormat="1" ht="12.75">
      <c r="A63" s="517" t="s">
        <v>1483</v>
      </c>
      <c r="B63" s="518">
        <f>SUM(B64,B68,B72,B76,B80)</f>
        <v>22375791.1</v>
      </c>
      <c r="C63" s="518">
        <f>SUM(C64,C68,C72,C76,C80)</f>
        <v>13426939.73</v>
      </c>
      <c r="D63" s="500">
        <f>C63/B63*100</f>
        <v>60.006547567384104</v>
      </c>
      <c r="E63" s="501">
        <f>C63/$C$84*100</f>
        <v>12.98492042266384</v>
      </c>
      <c r="F63" s="519" t="s">
        <v>176</v>
      </c>
    </row>
    <row r="64" spans="1:6" s="465" customFormat="1" ht="25.5">
      <c r="A64" s="523" t="s">
        <v>641</v>
      </c>
      <c r="B64" s="488">
        <f>B66+B65</f>
        <v>5836017.99</v>
      </c>
      <c r="C64" s="488">
        <f>C66+C65</f>
        <v>4869390</v>
      </c>
      <c r="D64" s="489">
        <f>C64/B64*100</f>
        <v>83.43685726027037</v>
      </c>
      <c r="E64" s="490">
        <f>C64/$C$84*100</f>
        <v>4.709088066854314</v>
      </c>
      <c r="F64" s="504" t="s">
        <v>176</v>
      </c>
    </row>
    <row r="65" spans="1:6" s="520" customFormat="1" ht="12.75">
      <c r="A65" s="521" t="s">
        <v>1330</v>
      </c>
      <c r="B65" s="522">
        <f>SUM(6DOCHODY!E65,6DOCHODY!E210,6DOCHODY!E212,6DOCHODY!E218,6DOCHODY!E223,6DOCHODY!E246,6DOCHODY!E248,6DOCHODY!E283,6DOCHODY!E295,6DOCHODY!E300,6DOCHODY!E305,6DOCHODY!E311,6DOCHODY!E324,6DOCHODY!E331,6DOCHODY!E350,6DOCHODY!E414)</f>
        <v>5577686</v>
      </c>
      <c r="C65" s="522">
        <f>SUM(6DOCHODY!F65,6DOCHODY!F210,6DOCHODY!F212,6DOCHODY!F218,6DOCHODY!F223,6DOCHODY!F246,6DOCHODY!F248,6DOCHODY!F283,6DOCHODY!F295,6DOCHODY!F300,6DOCHODY!F305,6DOCHODY!F311,6DOCHODY!F324,6DOCHODY!F331,6DOCHODY!F350,6DOCHODY!F414)</f>
        <v>4869390</v>
      </c>
      <c r="D65" s="485">
        <f>C65/B65*100</f>
        <v>87.30125718801668</v>
      </c>
      <c r="E65" s="486">
        <f>C65/$C$84*100</f>
        <v>4.709088066854314</v>
      </c>
      <c r="F65" s="487" t="s">
        <v>790</v>
      </c>
    </row>
    <row r="66" spans="1:6" ht="12.75">
      <c r="A66" s="524" t="s">
        <v>1329</v>
      </c>
      <c r="B66" s="1544">
        <f>SUM(6DOCHODY!E447,6DOCHODY!E450,6DOCHODY!E520,6DOCHODY!E521,6DOCHODY!E538,6DOCHODY!E546,6DOCHODY!E549,6DOCHODY!E572,6DOCHODY!E574,6DOCHODY!E576,6DOCHODY!E583,6DOCHODY!E584)</f>
        <v>258331.99</v>
      </c>
      <c r="C66" s="1544">
        <f>SUM(6DOCHODY!F447,6DOCHODY!F450,6DOCHODY!F520,6DOCHODY!F521,6DOCHODY!F538,6DOCHODY!F546,6DOCHODY!F549,6DOCHODY!F572,6DOCHODY!F574,6DOCHODY!F576,6DOCHODY!F583,6DOCHODY!F584)</f>
        <v>0</v>
      </c>
      <c r="D66" s="1545">
        <f>C66/B66*100</f>
        <v>0</v>
      </c>
      <c r="E66" s="1546">
        <f>C66/$C$84*100</f>
        <v>0</v>
      </c>
      <c r="F66" s="487" t="s">
        <v>1171</v>
      </c>
    </row>
    <row r="67" spans="1:6" s="520" customFormat="1" ht="12.75">
      <c r="A67" s="529"/>
      <c r="B67" s="525"/>
      <c r="C67" s="525"/>
      <c r="D67" s="489"/>
      <c r="E67" s="490"/>
      <c r="F67" s="519"/>
    </row>
    <row r="68" spans="1:6" s="527" customFormat="1" ht="27" customHeight="1">
      <c r="A68" s="523" t="s">
        <v>642</v>
      </c>
      <c r="B68" s="525">
        <f>SUM(B70,B69)</f>
        <v>12460323.11</v>
      </c>
      <c r="C68" s="525">
        <f>SUM(C70,C69)</f>
        <v>6894222.109999999</v>
      </c>
      <c r="D68" s="489">
        <f>C68/B68*100</f>
        <v>55.329400763829796</v>
      </c>
      <c r="E68" s="490">
        <f>C68/$C$84*100</f>
        <v>6.667262032501846</v>
      </c>
      <c r="F68" s="526" t="s">
        <v>176</v>
      </c>
    </row>
    <row r="69" spans="1:6" ht="12.75">
      <c r="A69" s="521" t="s">
        <v>1333</v>
      </c>
      <c r="B69" s="492">
        <f>SUM(6DOCHODY!E10,6DOCHODY!E84,6DOCHODY!E104,6DOCHODY!E115,6DOCHODY!E135,6DOCHODY!E137,6DOCHODY!E139,6DOCHODY!E150,6DOCHODY!E244,6DOCHODY!E265,6DOCHODY!E277,6DOCHODY!E289,6DOCHODY!E294,6DOCHODY!E299,6DOCHODY!E310,6DOCHODY!E317,6DOCHODY!E319,6DOCHODY!E323)</f>
        <v>6460710.11</v>
      </c>
      <c r="C69" s="492">
        <f>SUM(6DOCHODY!F10,6DOCHODY!F84,6DOCHODY!F104,6DOCHODY!F115,6DOCHODY!F135,6DOCHODY!F137,6DOCHODY!F139,6DOCHODY!F150,6DOCHODY!F244,6DOCHODY!F265,6DOCHODY!F277,6DOCHODY!F289,6DOCHODY!F294,6DOCHODY!F299,6DOCHODY!F310,6DOCHODY!F317,6DOCHODY!F319,6DOCHODY!F323)</f>
        <v>3345889.11</v>
      </c>
      <c r="D69" s="485">
        <f>C69/B69*100</f>
        <v>51.78825629122679</v>
      </c>
      <c r="E69" s="486">
        <f>C69/$C$84*100</f>
        <v>3.2357413312383683</v>
      </c>
      <c r="F69" s="487" t="s">
        <v>1174</v>
      </c>
    </row>
    <row r="70" spans="1:9" ht="12.75">
      <c r="A70" s="524" t="s">
        <v>1332</v>
      </c>
      <c r="B70" s="492">
        <f>SUM(6DOCHODY!E424,6DOCHODY!E453,6DOCHODY!E454,6DOCHODY!E457,6DOCHODY!E463,6DOCHODY!E466,6DOCHODY!E467,6DOCHODY!E469,6DOCHODY!E472,6DOCHODY!E479,6DOCHODY!E483,6DOCHODY!E484,6DOCHODY!E486,6DOCHODY!E527,6DOCHODY!E534,6DOCHODY!E543,6DOCHODY!E556,6DOCHODY!E562)</f>
        <v>5999613</v>
      </c>
      <c r="C70" s="492">
        <f>SUM(6DOCHODY!F424,6DOCHODY!F453,6DOCHODY!F454,6DOCHODY!F457,6DOCHODY!F463,6DOCHODY!F466,6DOCHODY!F467,6DOCHODY!F469,6DOCHODY!F472,6DOCHODY!F479,6DOCHODY!F483,6DOCHODY!F484,6DOCHODY!F486,6DOCHODY!F527,6DOCHODY!F534,6DOCHODY!F543,6DOCHODY!F556,6DOCHODY!F562)</f>
        <v>3548333</v>
      </c>
      <c r="D70" s="485">
        <f>C70/B70*100</f>
        <v>59.142698037356745</v>
      </c>
      <c r="E70" s="486">
        <f>C70/$C$84*100</f>
        <v>3.4315207012634783</v>
      </c>
      <c r="F70" s="487" t="s">
        <v>1173</v>
      </c>
      <c r="I70" s="464" t="s">
        <v>1166</v>
      </c>
    </row>
    <row r="71" spans="1:6" ht="12.75">
      <c r="A71" s="528"/>
      <c r="B71" s="488"/>
      <c r="C71" s="488"/>
      <c r="D71" s="489"/>
      <c r="E71" s="490"/>
      <c r="F71" s="487"/>
    </row>
    <row r="72" spans="1:6" s="465" customFormat="1" ht="27.75" customHeight="1">
      <c r="A72" s="523" t="s">
        <v>643</v>
      </c>
      <c r="B72" s="488">
        <f>B74+B73</f>
        <v>9500</v>
      </c>
      <c r="C72" s="488">
        <f>C74+C73</f>
        <v>9500</v>
      </c>
      <c r="D72" s="489">
        <f>C72/B72*100</f>
        <v>100</v>
      </c>
      <c r="E72" s="490">
        <f>C72/$C$84*100</f>
        <v>0.009187256850471205</v>
      </c>
      <c r="F72" s="504" t="s">
        <v>176</v>
      </c>
    </row>
    <row r="73" spans="1:6" ht="12.75">
      <c r="A73" s="521" t="s">
        <v>1333</v>
      </c>
      <c r="B73" s="492">
        <f>SUM(6DOCHODY!E85,6DOCHODY!E89,6DOCHODY!E245,6DOCHODY!E266,6DOCHODY!E322,6DOCHODY!E349)</f>
        <v>7500</v>
      </c>
      <c r="C73" s="492">
        <f>SUM(6DOCHODY!F85,6DOCHODY!F89,6DOCHODY!F245,6DOCHODY!F266,6DOCHODY!F322,6DOCHODY!F349)</f>
        <v>7500</v>
      </c>
      <c r="D73" s="485">
        <f>C73/B73*100</f>
        <v>100</v>
      </c>
      <c r="E73" s="486">
        <f>C73/$C$84*100</f>
        <v>0.0072530975135298974</v>
      </c>
      <c r="F73" s="487" t="s">
        <v>1168</v>
      </c>
    </row>
    <row r="74" spans="1:6" ht="12.75">
      <c r="A74" s="524" t="s">
        <v>1332</v>
      </c>
      <c r="B74" s="492">
        <f>SUM(6DOCHODY!E448,6DOCHODY!E480,6DOCHODY!E553,)</f>
        <v>2000</v>
      </c>
      <c r="C74" s="492">
        <f>SUM(6DOCHODY!F448,6DOCHODY!F480,6DOCHODY!F553,)</f>
        <v>2000</v>
      </c>
      <c r="D74" s="485">
        <f>C74/B74*100</f>
        <v>100</v>
      </c>
      <c r="E74" s="486">
        <f>C74/$C$84*100</f>
        <v>0.0019341593369413062</v>
      </c>
      <c r="F74" s="487" t="s">
        <v>1167</v>
      </c>
    </row>
    <row r="75" spans="1:6" ht="12.75">
      <c r="A75" s="521"/>
      <c r="B75" s="492"/>
      <c r="C75" s="492"/>
      <c r="D75" s="485"/>
      <c r="E75" s="486"/>
      <c r="F75" s="487"/>
    </row>
    <row r="76" spans="1:6" s="465" customFormat="1" ht="25.5">
      <c r="A76" s="523" t="s">
        <v>644</v>
      </c>
      <c r="B76" s="488">
        <f>SUM(B78,B77)</f>
        <v>0</v>
      </c>
      <c r="C76" s="488">
        <f>SUM(C78,C77)</f>
        <v>0</v>
      </c>
      <c r="D76" s="503" t="s">
        <v>144</v>
      </c>
      <c r="E76" s="490">
        <f>C76/$C$84*100</f>
        <v>0</v>
      </c>
      <c r="F76" s="504" t="s">
        <v>176</v>
      </c>
    </row>
    <row r="77" spans="1:6" ht="12.75">
      <c r="A77" s="524" t="s">
        <v>1333</v>
      </c>
      <c r="B77" s="492">
        <f>SUM(6DOCHODY!E121)</f>
        <v>0</v>
      </c>
      <c r="C77" s="492">
        <f>SUM(6DOCHODY!F121)</f>
        <v>0</v>
      </c>
      <c r="D77" s="503" t="s">
        <v>144</v>
      </c>
      <c r="E77" s="486">
        <f>C77/$C$84*100</f>
        <v>0</v>
      </c>
      <c r="F77" s="487" t="s">
        <v>1169</v>
      </c>
    </row>
    <row r="78" spans="1:6" ht="12.75">
      <c r="A78" s="524" t="s">
        <v>1332</v>
      </c>
      <c r="B78" s="492">
        <f>SUM(6DOCHODY!E539,6DOCHODY!E577,6DOCHODY!E579)</f>
        <v>0</v>
      </c>
      <c r="C78" s="492">
        <f>SUM(6DOCHODY!F539,6DOCHODY!F577,6DOCHODY!F579)</f>
        <v>0</v>
      </c>
      <c r="D78" s="503" t="s">
        <v>144</v>
      </c>
      <c r="E78" s="486">
        <f>C78/$C$84*100</f>
        <v>0</v>
      </c>
      <c r="F78" s="487" t="s">
        <v>1172</v>
      </c>
    </row>
    <row r="79" spans="1:6" ht="12.75">
      <c r="A79" s="524"/>
      <c r="B79" s="492"/>
      <c r="C79" s="492"/>
      <c r="D79" s="503"/>
      <c r="E79" s="486"/>
      <c r="F79" s="487"/>
    </row>
    <row r="80" spans="1:6" s="465" customFormat="1" ht="12.75">
      <c r="A80" s="523" t="s">
        <v>645</v>
      </c>
      <c r="B80" s="488">
        <f>SUM(B82,B81)</f>
        <v>4069950</v>
      </c>
      <c r="C80" s="488">
        <f>SUM(C82,C81)</f>
        <v>1653827.62</v>
      </c>
      <c r="D80" s="489">
        <f>C80/B80*100</f>
        <v>40.63508446049706</v>
      </c>
      <c r="E80" s="490">
        <f>C80/$C$84*100</f>
        <v>1.5993830664572093</v>
      </c>
      <c r="F80" s="504" t="s">
        <v>176</v>
      </c>
    </row>
    <row r="81" spans="1:6" ht="12.75">
      <c r="A81" s="524" t="s">
        <v>1333</v>
      </c>
      <c r="B81" s="492">
        <f>SUM(6DOCHODY!E59,6DOCHODY!E61,6DOCHODY!E70,6DOCHODY!E72,6DOCHODY!E124,6DOCHODY!E126,6DOCHODY!E131,6DOCHODY!E143,6DOCHODY!E145,6DOCHODY!E219,6DOCHODY!E338,6DOCHODY!E340,6DOCHODY!E342,6DOCHODY!E356,6DOCHODY!E359,6DOCHODY!E361,6DOCHODY!E395,6DOCHODY!E404,6DOCHODY!E410)</f>
        <v>2512576</v>
      </c>
      <c r="C81" s="492">
        <f>SUM(6DOCHODY!F59,6DOCHODY!F61,6DOCHODY!F70,6DOCHODY!F72,6DOCHODY!F124,6DOCHODY!F126,6DOCHODY!F131,6DOCHODY!F143,6DOCHODY!F145,6DOCHODY!F219,6DOCHODY!F338,6DOCHODY!F340,6DOCHODY!F342,6DOCHODY!F356,6DOCHODY!F359,6DOCHODY!F361,6DOCHODY!F395,6DOCHODY!F404,6DOCHODY!F410)</f>
        <v>757663.14</v>
      </c>
      <c r="D81" s="485">
        <f>C81/B81*100</f>
        <v>30.15483471942739</v>
      </c>
      <c r="E81" s="486">
        <f>C81/$C$84*100</f>
        <v>0.7327206182436341</v>
      </c>
      <c r="F81" s="487" t="s">
        <v>1170</v>
      </c>
    </row>
    <row r="82" spans="1:6" ht="12.75">
      <c r="A82" s="524" t="s">
        <v>1332</v>
      </c>
      <c r="B82" s="492">
        <f>SUM(6DOCHODY!E442,6DOCHODY!E464,6DOCHODY!E515,6DOCHODY!E517,6DOCHODY!E564,6DOCHODY!E566,6DOCHODY!E568,6DOCHODY!E581,6DOCHODY!E584)</f>
        <v>1557374</v>
      </c>
      <c r="C82" s="492">
        <f>SUM(6DOCHODY!F442,6DOCHODY!F464,6DOCHODY!F515,6DOCHODY!F517,6DOCHODY!F564,6DOCHODY!F566,6DOCHODY!F568)</f>
        <v>896164.48</v>
      </c>
      <c r="D82" s="485">
        <f>C82/B82*100</f>
        <v>57.54330559005094</v>
      </c>
      <c r="E82" s="486">
        <f>C82/$C$84*100</f>
        <v>0.8666624482135753</v>
      </c>
      <c r="F82" s="487" t="s">
        <v>1170</v>
      </c>
    </row>
    <row r="83" spans="1:6" ht="13.5" thickBot="1">
      <c r="A83" s="493"/>
      <c r="B83" s="488"/>
      <c r="C83" s="488"/>
      <c r="D83" s="545"/>
      <c r="E83" s="490"/>
      <c r="F83" s="487"/>
    </row>
    <row r="84" spans="1:6" s="536" customFormat="1" ht="23.25" customHeight="1" thickBot="1">
      <c r="A84" s="531" t="s">
        <v>1325</v>
      </c>
      <c r="B84" s="532">
        <f>SUM(B8,B54,B63)</f>
        <v>240704574.1</v>
      </c>
      <c r="C84" s="532">
        <f>SUM(C8,C54,C63)</f>
        <v>103404097.16</v>
      </c>
      <c r="D84" s="533">
        <f>C84/B84*100</f>
        <v>42.95892487570306</v>
      </c>
      <c r="E84" s="534">
        <f>C84/$C$84*100</f>
        <v>100</v>
      </c>
      <c r="F84" s="535"/>
    </row>
    <row r="85" spans="1:6" ht="12.75" hidden="1">
      <c r="A85" s="466" t="s">
        <v>44</v>
      </c>
      <c r="B85" s="206">
        <v>240704574.1</v>
      </c>
      <c r="C85" s="206">
        <v>103404097.16</v>
      </c>
      <c r="F85" s="487"/>
    </row>
    <row r="86" spans="1:6" s="465" customFormat="1" ht="12.75" hidden="1">
      <c r="A86" s="537" t="s">
        <v>1323</v>
      </c>
      <c r="B86" s="538">
        <f>B85-B84</f>
        <v>0</v>
      </c>
      <c r="C86" s="538">
        <f>C85-C84</f>
        <v>0</v>
      </c>
      <c r="F86" s="504"/>
    </row>
    <row r="87" spans="1:3" ht="12.75">
      <c r="A87" s="539"/>
      <c r="B87" s="539"/>
      <c r="C87" s="540"/>
    </row>
    <row r="129" s="477" customFormat="1" ht="12.75">
      <c r="F129" s="505"/>
    </row>
    <row r="130" s="477" customFormat="1" ht="12.75" customHeight="1">
      <c r="F130" s="505"/>
    </row>
    <row r="185" s="477" customFormat="1" ht="12.75">
      <c r="F185" s="505"/>
    </row>
    <row r="186" s="477" customFormat="1" ht="12.75" customHeight="1">
      <c r="F186" s="505"/>
    </row>
  </sheetData>
  <sheetProtection password="CF53" sheet="1" formatRows="0" insertColumns="0" insertRows="0" insertHyperlinks="0" deleteColumns="0" deleteRows="0" sort="0" autoFilter="0" pivotTables="0"/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918"/>
  <sheetViews>
    <sheetView view="pageBreakPreview" zoomScale="110" zoomScaleSheetLayoutView="110" zoomScalePageLayoutView="0" workbookViewId="0" topLeftCell="A1">
      <pane ySplit="6" topLeftCell="A7" activePane="bottomLeft" state="frozen"/>
      <selection pane="topLeft" activeCell="I244" sqref="I244"/>
      <selection pane="bottomLeft" activeCell="A917" sqref="A917:IV918"/>
    </sheetView>
  </sheetViews>
  <sheetFormatPr defaultColWidth="9.00390625" defaultRowHeight="18.75" customHeight="1"/>
  <cols>
    <col min="1" max="1" width="5.25390625" style="44" customWidth="1"/>
    <col min="2" max="2" width="8.00390625" style="44" customWidth="1"/>
    <col min="3" max="3" width="39.25390625" style="45" customWidth="1"/>
    <col min="4" max="4" width="14.75390625" style="46" customWidth="1"/>
    <col min="5" max="5" width="13.875" style="46" customWidth="1"/>
    <col min="6" max="6" width="5.75390625" style="46" customWidth="1"/>
    <col min="7" max="7" width="13.00390625" style="14" customWidth="1"/>
    <col min="8" max="8" width="13.625" style="1" customWidth="1"/>
    <col min="9" max="12" width="9.125" style="46" customWidth="1"/>
    <col min="13" max="13" width="8.625" style="46" customWidth="1"/>
    <col min="14" max="16384" width="9.125" style="46" customWidth="1"/>
  </cols>
  <sheetData>
    <row r="1" spans="1:8" s="548" customFormat="1" ht="18.75" customHeight="1">
      <c r="A1" s="546"/>
      <c r="B1" s="546"/>
      <c r="C1" s="547"/>
      <c r="E1" s="1583" t="s">
        <v>610</v>
      </c>
      <c r="F1" s="1583"/>
      <c r="G1" s="173"/>
      <c r="H1" s="174"/>
    </row>
    <row r="2" spans="1:8" s="548" customFormat="1" ht="21.75" customHeight="1">
      <c r="A2" s="546"/>
      <c r="B2" s="546"/>
      <c r="C2" s="547"/>
      <c r="G2" s="173"/>
      <c r="H2" s="174"/>
    </row>
    <row r="3" spans="1:8" s="549" customFormat="1" ht="18.75" customHeight="1">
      <c r="A3" s="1587" t="s">
        <v>131</v>
      </c>
      <c r="B3" s="1587"/>
      <c r="C3" s="1587"/>
      <c r="D3" s="1587"/>
      <c r="E3" s="1587"/>
      <c r="G3" s="173"/>
      <c r="H3" s="175"/>
    </row>
    <row r="4" spans="1:8" s="549" customFormat="1" ht="13.5" customHeight="1" thickBot="1">
      <c r="A4" s="550"/>
      <c r="B4" s="550"/>
      <c r="C4" s="551"/>
      <c r="D4" s="550"/>
      <c r="E4" s="550"/>
      <c r="F4" s="192" t="s">
        <v>1351</v>
      </c>
      <c r="G4" s="173"/>
      <c r="H4" s="175"/>
    </row>
    <row r="5" spans="1:8" s="549" customFormat="1" ht="18.75" customHeight="1">
      <c r="A5" s="552" t="s">
        <v>649</v>
      </c>
      <c r="B5" s="553" t="s">
        <v>1352</v>
      </c>
      <c r="C5" s="553" t="s">
        <v>1353</v>
      </c>
      <c r="D5" s="554" t="s">
        <v>1354</v>
      </c>
      <c r="E5" s="554" t="s">
        <v>1355</v>
      </c>
      <c r="F5" s="555" t="s">
        <v>1356</v>
      </c>
      <c r="G5" s="173"/>
      <c r="H5" s="175"/>
    </row>
    <row r="6" spans="1:8" s="244" customFormat="1" ht="11.25" customHeight="1" thickBot="1">
      <c r="A6" s="241">
        <v>1</v>
      </c>
      <c r="B6" s="242">
        <v>2</v>
      </c>
      <c r="C6" s="242">
        <v>3</v>
      </c>
      <c r="D6" s="182">
        <v>4</v>
      </c>
      <c r="E6" s="182">
        <v>5</v>
      </c>
      <c r="F6" s="184">
        <v>6</v>
      </c>
      <c r="G6" s="173"/>
      <c r="H6" s="173"/>
    </row>
    <row r="7" spans="1:6" s="173" customFormat="1" ht="19.5" customHeight="1">
      <c r="A7" s="1625" t="s">
        <v>1440</v>
      </c>
      <c r="B7" s="1626"/>
      <c r="C7" s="1626"/>
      <c r="D7" s="382">
        <f>SUM(D8,D21,D26,D31,D39,D59,D70,D90,D106,D152,D169,D176,D212,D218,D225,D233,D295,D335,D413,D433,D468,D516,D550)</f>
        <v>163323813.11</v>
      </c>
      <c r="E7" s="382">
        <f>SUM(E8,E21,E26,E31,E39,E59,E70,E90,E106,E152,E169,E176,E212,E218,E225,E233,E295,E335,E413,E433,E468,E516,E550)</f>
        <v>67658016.03999999</v>
      </c>
      <c r="F7" s="556">
        <f>E7/D7*100</f>
        <v>41.42568970908837</v>
      </c>
    </row>
    <row r="8" spans="1:7" s="563" customFormat="1" ht="18.75" customHeight="1">
      <c r="A8" s="557" t="s">
        <v>1357</v>
      </c>
      <c r="B8" s="558"/>
      <c r="C8" s="559" t="s">
        <v>650</v>
      </c>
      <c r="D8" s="560">
        <f>SUM(D9,D14,D17)</f>
        <v>249221.11</v>
      </c>
      <c r="E8" s="560">
        <f>SUM(E9,E14,E17)</f>
        <v>74857.3</v>
      </c>
      <c r="F8" s="561">
        <f>E8/D8*100</f>
        <v>30.036500519558718</v>
      </c>
      <c r="G8" s="562"/>
    </row>
    <row r="9" spans="1:7" s="570" customFormat="1" ht="18.75" customHeight="1">
      <c r="A9" s="564"/>
      <c r="B9" s="565" t="s">
        <v>651</v>
      </c>
      <c r="C9" s="566" t="s">
        <v>652</v>
      </c>
      <c r="D9" s="567">
        <f>D10</f>
        <v>220000</v>
      </c>
      <c r="E9" s="567">
        <f>E10</f>
        <v>51893.19</v>
      </c>
      <c r="F9" s="568">
        <f aca="true" t="shared" si="0" ref="F9:F27">E9/D9*100</f>
        <v>23.587813636363638</v>
      </c>
      <c r="G9" s="569"/>
    </row>
    <row r="10" spans="1:7" s="577" customFormat="1" ht="18.75" customHeight="1">
      <c r="A10" s="571"/>
      <c r="B10" s="572"/>
      <c r="C10" s="573" t="s">
        <v>185</v>
      </c>
      <c r="D10" s="574">
        <f>SUM(D11)</f>
        <v>220000</v>
      </c>
      <c r="E10" s="574">
        <f>SUM(E11)</f>
        <v>51893.19</v>
      </c>
      <c r="F10" s="575">
        <f t="shared" si="0"/>
        <v>23.587813636363638</v>
      </c>
      <c r="G10" s="576"/>
    </row>
    <row r="11" spans="1:7" s="584" customFormat="1" ht="18" customHeight="1">
      <c r="A11" s="578"/>
      <c r="B11" s="579"/>
      <c r="C11" s="580" t="s">
        <v>284</v>
      </c>
      <c r="D11" s="581">
        <f>SUM(D12,D13)</f>
        <v>220000</v>
      </c>
      <c r="E11" s="581">
        <f>SUM(E12,E13)</f>
        <v>51893.19</v>
      </c>
      <c r="F11" s="582">
        <f>E11/D11*100</f>
        <v>23.587813636363638</v>
      </c>
      <c r="G11" s="583"/>
    </row>
    <row r="12" spans="1:7" s="590" customFormat="1" ht="18.75" customHeight="1" hidden="1">
      <c r="A12" s="585"/>
      <c r="B12" s="586"/>
      <c r="C12" s="587" t="s">
        <v>668</v>
      </c>
      <c r="D12" s="588">
        <v>0</v>
      </c>
      <c r="E12" s="588">
        <v>0</v>
      </c>
      <c r="F12" s="589" t="e">
        <f>E12/D12*100</f>
        <v>#DIV/0!</v>
      </c>
      <c r="G12" s="583"/>
    </row>
    <row r="13" spans="1:7" s="590" customFormat="1" ht="18.75" customHeight="1">
      <c r="A13" s="585"/>
      <c r="B13" s="586"/>
      <c r="C13" s="587" t="s">
        <v>285</v>
      </c>
      <c r="D13" s="588">
        <v>220000</v>
      </c>
      <c r="E13" s="588">
        <v>51893.19</v>
      </c>
      <c r="F13" s="589">
        <f>E13/D13*100</f>
        <v>23.587813636363638</v>
      </c>
      <c r="G13" s="583"/>
    </row>
    <row r="14" spans="1:7" s="570" customFormat="1" ht="18.75" customHeight="1">
      <c r="A14" s="564"/>
      <c r="B14" s="565" t="s">
        <v>653</v>
      </c>
      <c r="C14" s="591" t="s">
        <v>654</v>
      </c>
      <c r="D14" s="567">
        <f>D15</f>
        <v>1900</v>
      </c>
      <c r="E14" s="567">
        <f>E15</f>
        <v>536.12</v>
      </c>
      <c r="F14" s="568">
        <f t="shared" si="0"/>
        <v>28.216842105263158</v>
      </c>
      <c r="G14" s="562"/>
    </row>
    <row r="15" spans="1:7" s="595" customFormat="1" ht="18.75" customHeight="1">
      <c r="A15" s="592"/>
      <c r="B15" s="593"/>
      <c r="C15" s="573" t="s">
        <v>185</v>
      </c>
      <c r="D15" s="574">
        <f>SUM(D16)</f>
        <v>1900</v>
      </c>
      <c r="E15" s="574">
        <f>SUM(E16)</f>
        <v>536.12</v>
      </c>
      <c r="F15" s="575">
        <f t="shared" si="0"/>
        <v>28.216842105263158</v>
      </c>
      <c r="G15" s="594"/>
    </row>
    <row r="16" spans="1:7" s="757" customFormat="1" ht="26.25" customHeight="1">
      <c r="A16" s="751"/>
      <c r="B16" s="752"/>
      <c r="C16" s="753" t="s">
        <v>1148</v>
      </c>
      <c r="D16" s="754">
        <v>1900</v>
      </c>
      <c r="E16" s="754">
        <v>536.12</v>
      </c>
      <c r="F16" s="755">
        <f t="shared" si="0"/>
        <v>28.216842105263158</v>
      </c>
      <c r="G16" s="756"/>
    </row>
    <row r="17" spans="1:8" s="598" customFormat="1" ht="18.75" customHeight="1">
      <c r="A17" s="564"/>
      <c r="B17" s="565" t="s">
        <v>655</v>
      </c>
      <c r="C17" s="597" t="s">
        <v>1358</v>
      </c>
      <c r="D17" s="567">
        <f>D18</f>
        <v>27321.11</v>
      </c>
      <c r="E17" s="567">
        <f>E18</f>
        <v>22427.99</v>
      </c>
      <c r="F17" s="568">
        <f t="shared" si="0"/>
        <v>82.09033234740463</v>
      </c>
      <c r="G17" s="562"/>
      <c r="H17" s="570"/>
    </row>
    <row r="18" spans="1:7" s="577" customFormat="1" ht="18.75" customHeight="1">
      <c r="A18" s="571"/>
      <c r="B18" s="572"/>
      <c r="C18" s="573" t="s">
        <v>185</v>
      </c>
      <c r="D18" s="574">
        <f>SUM(D19)</f>
        <v>27321.11</v>
      </c>
      <c r="E18" s="574">
        <f>SUM(E19)</f>
        <v>22427.99</v>
      </c>
      <c r="F18" s="575">
        <f>E18/D18*100</f>
        <v>82.09033234740463</v>
      </c>
      <c r="G18" s="576"/>
    </row>
    <row r="19" spans="1:7" s="584" customFormat="1" ht="18" customHeight="1">
      <c r="A19" s="578"/>
      <c r="B19" s="579"/>
      <c r="C19" s="580" t="s">
        <v>284</v>
      </c>
      <c r="D19" s="581">
        <f>SUM(D20)</f>
        <v>27321.11</v>
      </c>
      <c r="E19" s="581">
        <f>SUM(E20)</f>
        <v>22427.99</v>
      </c>
      <c r="F19" s="582">
        <f>E19/D19*100</f>
        <v>82.09033234740463</v>
      </c>
      <c r="G19" s="583"/>
    </row>
    <row r="20" spans="1:7" s="590" customFormat="1" ht="18.75" customHeight="1">
      <c r="A20" s="585"/>
      <c r="B20" s="586"/>
      <c r="C20" s="587" t="s">
        <v>285</v>
      </c>
      <c r="D20" s="588">
        <v>27321.11</v>
      </c>
      <c r="E20" s="588">
        <v>22427.99</v>
      </c>
      <c r="F20" s="589">
        <f>E20/D20*100</f>
        <v>82.09033234740463</v>
      </c>
      <c r="G20" s="583"/>
    </row>
    <row r="21" spans="1:7" s="563" customFormat="1" ht="18.75" customHeight="1">
      <c r="A21" s="557" t="s">
        <v>1359</v>
      </c>
      <c r="B21" s="558"/>
      <c r="C21" s="599" t="s">
        <v>656</v>
      </c>
      <c r="D21" s="560">
        <f>SUM(D22)</f>
        <v>20000</v>
      </c>
      <c r="E21" s="560">
        <f>SUM(E22)</f>
        <v>702</v>
      </c>
      <c r="F21" s="561">
        <f t="shared" si="0"/>
        <v>3.51</v>
      </c>
      <c r="G21" s="562"/>
    </row>
    <row r="22" spans="1:8" s="598" customFormat="1" ht="18.75" customHeight="1">
      <c r="A22" s="564"/>
      <c r="B22" s="565" t="s">
        <v>1360</v>
      </c>
      <c r="C22" s="597" t="s">
        <v>1358</v>
      </c>
      <c r="D22" s="567">
        <f>D25</f>
        <v>20000</v>
      </c>
      <c r="E22" s="567">
        <f>E25</f>
        <v>702</v>
      </c>
      <c r="F22" s="568">
        <f t="shared" si="0"/>
        <v>3.51</v>
      </c>
      <c r="G22" s="562"/>
      <c r="H22" s="570"/>
    </row>
    <row r="23" spans="1:7" s="577" customFormat="1" ht="18.75" customHeight="1">
      <c r="A23" s="571"/>
      <c r="B23" s="572"/>
      <c r="C23" s="573" t="s">
        <v>185</v>
      </c>
      <c r="D23" s="574">
        <f>SUM(D24)</f>
        <v>20000</v>
      </c>
      <c r="E23" s="574">
        <f>SUM(E24)</f>
        <v>702</v>
      </c>
      <c r="F23" s="575">
        <f t="shared" si="0"/>
        <v>3.51</v>
      </c>
      <c r="G23" s="576"/>
    </row>
    <row r="24" spans="1:7" s="584" customFormat="1" ht="18" customHeight="1">
      <c r="A24" s="578"/>
      <c r="B24" s="579"/>
      <c r="C24" s="580" t="s">
        <v>284</v>
      </c>
      <c r="D24" s="581">
        <f>SUM(D25)</f>
        <v>20000</v>
      </c>
      <c r="E24" s="581">
        <f>SUM(E25)</f>
        <v>702</v>
      </c>
      <c r="F24" s="582">
        <f>E24/D24*100</f>
        <v>3.51</v>
      </c>
      <c r="G24" s="583"/>
    </row>
    <row r="25" spans="1:7" s="590" customFormat="1" ht="18.75" customHeight="1">
      <c r="A25" s="585"/>
      <c r="B25" s="586"/>
      <c r="C25" s="587" t="s">
        <v>285</v>
      </c>
      <c r="D25" s="588">
        <v>20000</v>
      </c>
      <c r="E25" s="588">
        <v>702</v>
      </c>
      <c r="F25" s="589">
        <f>E25/D25*100</f>
        <v>3.51</v>
      </c>
      <c r="G25" s="583"/>
    </row>
    <row r="26" spans="1:7" s="563" customFormat="1" ht="38.25" customHeight="1">
      <c r="A26" s="600" t="s">
        <v>235</v>
      </c>
      <c r="B26" s="558"/>
      <c r="C26" s="559" t="s">
        <v>657</v>
      </c>
      <c r="D26" s="560">
        <f>D27</f>
        <v>1429000</v>
      </c>
      <c r="E26" s="560">
        <f>E27</f>
        <v>681562.27</v>
      </c>
      <c r="F26" s="561">
        <f t="shared" si="0"/>
        <v>47.69505038488454</v>
      </c>
      <c r="G26" s="562"/>
    </row>
    <row r="27" spans="1:8" s="598" customFormat="1" ht="18.75" customHeight="1">
      <c r="A27" s="564"/>
      <c r="B27" s="565" t="s">
        <v>658</v>
      </c>
      <c r="C27" s="597" t="s">
        <v>659</v>
      </c>
      <c r="D27" s="567">
        <f>D30</f>
        <v>1429000</v>
      </c>
      <c r="E27" s="567">
        <f>E30</f>
        <v>681562.27</v>
      </c>
      <c r="F27" s="568">
        <f t="shared" si="0"/>
        <v>47.69505038488454</v>
      </c>
      <c r="G27" s="562"/>
      <c r="H27" s="570"/>
    </row>
    <row r="28" spans="1:7" s="577" customFormat="1" ht="18.75" customHeight="1">
      <c r="A28" s="571"/>
      <c r="B28" s="572"/>
      <c r="C28" s="573" t="s">
        <v>185</v>
      </c>
      <c r="D28" s="574">
        <f>SUM(D29)</f>
        <v>1429000</v>
      </c>
      <c r="E28" s="574">
        <f>SUM(E29)</f>
        <v>681562.27</v>
      </c>
      <c r="F28" s="575">
        <f aca="true" t="shared" si="1" ref="F28:F38">E28/D28*100</f>
        <v>47.69505038488454</v>
      </c>
      <c r="G28" s="576"/>
    </row>
    <row r="29" spans="1:7" s="584" customFormat="1" ht="18" customHeight="1">
      <c r="A29" s="578"/>
      <c r="B29" s="579"/>
      <c r="C29" s="580" t="s">
        <v>284</v>
      </c>
      <c r="D29" s="581">
        <f>SUM(D30)</f>
        <v>1429000</v>
      </c>
      <c r="E29" s="581">
        <f>SUM(E30)</f>
        <v>681562.27</v>
      </c>
      <c r="F29" s="582">
        <f t="shared" si="1"/>
        <v>47.69505038488454</v>
      </c>
      <c r="G29" s="583"/>
    </row>
    <row r="30" spans="1:7" s="590" customFormat="1" ht="18.75" customHeight="1">
      <c r="A30" s="585"/>
      <c r="B30" s="586"/>
      <c r="C30" s="587" t="s">
        <v>285</v>
      </c>
      <c r="D30" s="588">
        <v>1429000</v>
      </c>
      <c r="E30" s="588">
        <v>681562.27</v>
      </c>
      <c r="F30" s="589">
        <f t="shared" si="1"/>
        <v>47.69505038488454</v>
      </c>
      <c r="G30" s="583"/>
    </row>
    <row r="31" spans="1:7" s="563" customFormat="1" ht="18.75" customHeight="1">
      <c r="A31" s="557" t="s">
        <v>1361</v>
      </c>
      <c r="B31" s="558"/>
      <c r="C31" s="599" t="s">
        <v>660</v>
      </c>
      <c r="D31" s="560">
        <f>SUM(D33,D37)</f>
        <v>5854188</v>
      </c>
      <c r="E31" s="560">
        <f>SUM(E33,E37)</f>
        <v>509498.65</v>
      </c>
      <c r="F31" s="561">
        <f t="shared" si="1"/>
        <v>8.703148071090304</v>
      </c>
      <c r="G31" s="562"/>
    </row>
    <row r="32" spans="1:8" s="598" customFormat="1" ht="18.75" customHeight="1">
      <c r="A32" s="564"/>
      <c r="B32" s="565" t="s">
        <v>666</v>
      </c>
      <c r="C32" s="597" t="s">
        <v>1358</v>
      </c>
      <c r="D32" s="567">
        <f>SUM(D33,D37)</f>
        <v>5854188</v>
      </c>
      <c r="E32" s="567">
        <f>SUM(E33,E37)</f>
        <v>509498.65</v>
      </c>
      <c r="F32" s="568">
        <f t="shared" si="1"/>
        <v>8.703148071090304</v>
      </c>
      <c r="G32" s="562"/>
      <c r="H32" s="570"/>
    </row>
    <row r="33" spans="1:7" s="577" customFormat="1" ht="18.75" customHeight="1">
      <c r="A33" s="571"/>
      <c r="B33" s="572"/>
      <c r="C33" s="573" t="s">
        <v>185</v>
      </c>
      <c r="D33" s="574">
        <f>SUM(D34)</f>
        <v>414188</v>
      </c>
      <c r="E33" s="574">
        <f>SUM(E34)</f>
        <v>142023.15</v>
      </c>
      <c r="F33" s="575">
        <f t="shared" si="1"/>
        <v>34.28953760128251</v>
      </c>
      <c r="G33" s="576"/>
    </row>
    <row r="34" spans="1:7" s="584" customFormat="1" ht="18" customHeight="1">
      <c r="A34" s="578"/>
      <c r="B34" s="579"/>
      <c r="C34" s="580" t="s">
        <v>284</v>
      </c>
      <c r="D34" s="581">
        <f>SUM(D35,D36)</f>
        <v>414188</v>
      </c>
      <c r="E34" s="581">
        <f>SUM(E35,E36)</f>
        <v>142023.15</v>
      </c>
      <c r="F34" s="582">
        <f t="shared" si="1"/>
        <v>34.28953760128251</v>
      </c>
      <c r="G34" s="583"/>
    </row>
    <row r="35" spans="1:7" s="776" customFormat="1" ht="18.75" customHeight="1">
      <c r="A35" s="770"/>
      <c r="B35" s="771"/>
      <c r="C35" s="772" t="s">
        <v>668</v>
      </c>
      <c r="D35" s="773">
        <v>207088</v>
      </c>
      <c r="E35" s="773">
        <v>56351.98</v>
      </c>
      <c r="F35" s="774">
        <f t="shared" si="1"/>
        <v>27.211610523062664</v>
      </c>
      <c r="G35" s="775"/>
    </row>
    <row r="36" spans="1:7" s="590" customFormat="1" ht="18.75" customHeight="1">
      <c r="A36" s="585"/>
      <c r="B36" s="586"/>
      <c r="C36" s="587" t="s">
        <v>285</v>
      </c>
      <c r="D36" s="588">
        <v>207100</v>
      </c>
      <c r="E36" s="588">
        <v>85671.17</v>
      </c>
      <c r="F36" s="589">
        <f t="shared" si="1"/>
        <v>41.367054563013035</v>
      </c>
      <c r="G36" s="583"/>
    </row>
    <row r="37" spans="1:7" s="607" customFormat="1" ht="18.75" customHeight="1">
      <c r="A37" s="601"/>
      <c r="B37" s="602"/>
      <c r="C37" s="603" t="s">
        <v>287</v>
      </c>
      <c r="D37" s="604">
        <f>SUM(D38)</f>
        <v>5440000</v>
      </c>
      <c r="E37" s="604">
        <f>SUM(E38)</f>
        <v>367475.5</v>
      </c>
      <c r="F37" s="605">
        <f t="shared" si="1"/>
        <v>6.755064338235293</v>
      </c>
      <c r="G37" s="606"/>
    </row>
    <row r="38" spans="1:7" s="614" customFormat="1" ht="28.5" customHeight="1">
      <c r="A38" s="608"/>
      <c r="B38" s="609"/>
      <c r="C38" s="610" t="s">
        <v>1367</v>
      </c>
      <c r="D38" s="611">
        <v>5440000</v>
      </c>
      <c r="E38" s="611">
        <v>367475.5</v>
      </c>
      <c r="F38" s="612">
        <f t="shared" si="1"/>
        <v>6.755064338235293</v>
      </c>
      <c r="G38" s="613"/>
    </row>
    <row r="39" spans="1:7" s="563" customFormat="1" ht="18.75" customHeight="1">
      <c r="A39" s="557" t="s">
        <v>1414</v>
      </c>
      <c r="B39" s="558"/>
      <c r="C39" s="599" t="s">
        <v>1415</v>
      </c>
      <c r="D39" s="560">
        <f>SUM(D40,D46,D54)</f>
        <v>9280604</v>
      </c>
      <c r="E39" s="560">
        <f>SUM(E40,E46,E54)</f>
        <v>3062810.56</v>
      </c>
      <c r="F39" s="561">
        <f aca="true" t="shared" si="2" ref="F39:F46">E39/D39*100</f>
        <v>33.00227614495781</v>
      </c>
      <c r="G39" s="562"/>
    </row>
    <row r="40" spans="1:7" s="570" customFormat="1" ht="18.75" customHeight="1">
      <c r="A40" s="564"/>
      <c r="B40" s="565" t="s">
        <v>1347</v>
      </c>
      <c r="C40" s="597" t="s">
        <v>1348</v>
      </c>
      <c r="D40" s="567">
        <f>SUM(D41,D44)</f>
        <v>3300000</v>
      </c>
      <c r="E40" s="567">
        <f>SUM(E41,E44)</f>
        <v>1681703.32</v>
      </c>
      <c r="F40" s="568">
        <f t="shared" si="2"/>
        <v>50.96070666666667</v>
      </c>
      <c r="G40" s="562"/>
    </row>
    <row r="41" spans="1:7" s="577" customFormat="1" ht="18.75" customHeight="1">
      <c r="A41" s="571"/>
      <c r="B41" s="572"/>
      <c r="C41" s="573" t="s">
        <v>185</v>
      </c>
      <c r="D41" s="574">
        <f>SUM(D42)</f>
        <v>3300000</v>
      </c>
      <c r="E41" s="574">
        <f>SUM(E42)</f>
        <v>1681703.32</v>
      </c>
      <c r="F41" s="575">
        <f t="shared" si="2"/>
        <v>50.96070666666667</v>
      </c>
      <c r="G41" s="576"/>
    </row>
    <row r="42" spans="1:7" s="584" customFormat="1" ht="18" customHeight="1">
      <c r="A42" s="578"/>
      <c r="B42" s="579"/>
      <c r="C42" s="580" t="s">
        <v>284</v>
      </c>
      <c r="D42" s="581">
        <f>SUM(D43)</f>
        <v>3300000</v>
      </c>
      <c r="E42" s="581">
        <f>SUM(E43)</f>
        <v>1681703.32</v>
      </c>
      <c r="F42" s="582">
        <f>E42/D42*100</f>
        <v>50.96070666666667</v>
      </c>
      <c r="G42" s="583"/>
    </row>
    <row r="43" spans="1:7" s="590" customFormat="1" ht="18.75" customHeight="1">
      <c r="A43" s="585"/>
      <c r="B43" s="586"/>
      <c r="C43" s="587" t="s">
        <v>285</v>
      </c>
      <c r="D43" s="588">
        <v>3300000</v>
      </c>
      <c r="E43" s="588">
        <v>1681703.32</v>
      </c>
      <c r="F43" s="589">
        <f>E43/D43*100</f>
        <v>50.96070666666667</v>
      </c>
      <c r="G43" s="583"/>
    </row>
    <row r="44" spans="1:7" s="577" customFormat="1" ht="18.75" customHeight="1" hidden="1">
      <c r="A44" s="571"/>
      <c r="B44" s="572"/>
      <c r="C44" s="573" t="s">
        <v>287</v>
      </c>
      <c r="D44" s="574">
        <f>SUM(D45)</f>
        <v>0</v>
      </c>
      <c r="E44" s="574">
        <f>SUM(E45)</f>
        <v>0</v>
      </c>
      <c r="F44" s="575" t="e">
        <f>E44/D44*100</f>
        <v>#DIV/0!</v>
      </c>
      <c r="G44" s="576"/>
    </row>
    <row r="45" spans="1:7" s="584" customFormat="1" ht="38.25" customHeight="1" hidden="1">
      <c r="A45" s="578"/>
      <c r="B45" s="579"/>
      <c r="C45" s="580" t="s">
        <v>1365</v>
      </c>
      <c r="D45" s="581">
        <v>0</v>
      </c>
      <c r="E45" s="581">
        <v>0</v>
      </c>
      <c r="F45" s="582" t="e">
        <f>E45/D45*100</f>
        <v>#DIV/0!</v>
      </c>
      <c r="G45" s="583"/>
    </row>
    <row r="46" spans="1:7" s="570" customFormat="1" ht="18.75" customHeight="1">
      <c r="A46" s="564"/>
      <c r="B46" s="565" t="s">
        <v>1417</v>
      </c>
      <c r="C46" s="566" t="s">
        <v>1418</v>
      </c>
      <c r="D46" s="567">
        <f>SUM(D47,D51)</f>
        <v>5630000</v>
      </c>
      <c r="E46" s="567">
        <f>SUM(E47,E51)</f>
        <v>1234344.63</v>
      </c>
      <c r="F46" s="568">
        <f t="shared" si="2"/>
        <v>21.924416163410303</v>
      </c>
      <c r="G46" s="562"/>
    </row>
    <row r="47" spans="1:7" s="577" customFormat="1" ht="18.75" customHeight="1">
      <c r="A47" s="571"/>
      <c r="B47" s="572"/>
      <c r="C47" s="573" t="s">
        <v>185</v>
      </c>
      <c r="D47" s="574">
        <f>SUM(D48)</f>
        <v>2455754</v>
      </c>
      <c r="E47" s="574">
        <f>SUM(E48)</f>
        <v>997609.85</v>
      </c>
      <c r="F47" s="575">
        <f aca="true" t="shared" si="3" ref="F47:F64">E47/D47*100</f>
        <v>40.623362519209984</v>
      </c>
      <c r="G47" s="576"/>
    </row>
    <row r="48" spans="1:7" s="584" customFormat="1" ht="18" customHeight="1">
      <c r="A48" s="578"/>
      <c r="B48" s="579"/>
      <c r="C48" s="580" t="s">
        <v>284</v>
      </c>
      <c r="D48" s="581">
        <f>SUM(D49,D50)</f>
        <v>2455754</v>
      </c>
      <c r="E48" s="581">
        <f>SUM(E49,E50)</f>
        <v>997609.85</v>
      </c>
      <c r="F48" s="582">
        <f t="shared" si="3"/>
        <v>40.623362519209984</v>
      </c>
      <c r="G48" s="583"/>
    </row>
    <row r="49" spans="1:7" s="776" customFormat="1" ht="18.75" customHeight="1">
      <c r="A49" s="770"/>
      <c r="B49" s="771"/>
      <c r="C49" s="772" t="s">
        <v>668</v>
      </c>
      <c r="D49" s="773">
        <v>37000</v>
      </c>
      <c r="E49" s="773">
        <v>17228.16</v>
      </c>
      <c r="F49" s="774">
        <f t="shared" si="3"/>
        <v>46.56259459459459</v>
      </c>
      <c r="G49" s="775"/>
    </row>
    <row r="50" spans="1:7" s="590" customFormat="1" ht="18.75" customHeight="1">
      <c r="A50" s="585"/>
      <c r="B50" s="586"/>
      <c r="C50" s="587" t="s">
        <v>285</v>
      </c>
      <c r="D50" s="588">
        <v>2418754</v>
      </c>
      <c r="E50" s="588">
        <v>980381.69</v>
      </c>
      <c r="F50" s="589">
        <f t="shared" si="3"/>
        <v>40.532509300243014</v>
      </c>
      <c r="G50" s="583"/>
    </row>
    <row r="51" spans="1:7" s="577" customFormat="1" ht="18.75" customHeight="1">
      <c r="A51" s="571"/>
      <c r="B51" s="572"/>
      <c r="C51" s="573" t="s">
        <v>287</v>
      </c>
      <c r="D51" s="574">
        <f>SUM(D52,D53)</f>
        <v>3174246</v>
      </c>
      <c r="E51" s="574">
        <f>SUM(E52,E53)</f>
        <v>236734.78</v>
      </c>
      <c r="F51" s="575">
        <f t="shared" si="3"/>
        <v>7.457984667854981</v>
      </c>
      <c r="G51" s="576"/>
    </row>
    <row r="52" spans="1:7" s="584" customFormat="1" ht="28.5" customHeight="1">
      <c r="A52" s="578"/>
      <c r="B52" s="579"/>
      <c r="C52" s="580" t="s">
        <v>1367</v>
      </c>
      <c r="D52" s="581">
        <v>3174246</v>
      </c>
      <c r="E52" s="581">
        <v>236734.78</v>
      </c>
      <c r="F52" s="582">
        <f t="shared" si="3"/>
        <v>7.457984667854981</v>
      </c>
      <c r="G52" s="583"/>
    </row>
    <row r="53" spans="1:7" s="65" customFormat="1" ht="18" customHeight="1" hidden="1">
      <c r="A53" s="74"/>
      <c r="B53" s="62"/>
      <c r="C53" s="26" t="s">
        <v>304</v>
      </c>
      <c r="D53" s="27">
        <v>0</v>
      </c>
      <c r="E53" s="27">
        <v>0</v>
      </c>
      <c r="F53" s="63" t="e">
        <f t="shared" si="3"/>
        <v>#DIV/0!</v>
      </c>
      <c r="G53" s="64"/>
    </row>
    <row r="54" spans="1:7" s="584" customFormat="1" ht="18.75" customHeight="1">
      <c r="A54" s="615"/>
      <c r="B54" s="565" t="s">
        <v>250</v>
      </c>
      <c r="C54" s="597" t="s">
        <v>251</v>
      </c>
      <c r="D54" s="567">
        <f>SUM(D55)</f>
        <v>350604</v>
      </c>
      <c r="E54" s="567">
        <f>SUM(E55)</f>
        <v>146762.61000000002</v>
      </c>
      <c r="F54" s="568">
        <f t="shared" si="3"/>
        <v>41.85993599616662</v>
      </c>
      <c r="G54" s="583"/>
    </row>
    <row r="55" spans="1:7" s="577" customFormat="1" ht="18.75" customHeight="1">
      <c r="A55" s="571"/>
      <c r="B55" s="572"/>
      <c r="C55" s="573" t="s">
        <v>185</v>
      </c>
      <c r="D55" s="574">
        <f>SUM(D56)</f>
        <v>350604</v>
      </c>
      <c r="E55" s="574">
        <f>SUM(E56)</f>
        <v>146762.61000000002</v>
      </c>
      <c r="F55" s="575">
        <f t="shared" si="3"/>
        <v>41.85993599616662</v>
      </c>
      <c r="G55" s="576"/>
    </row>
    <row r="56" spans="1:7" s="584" customFormat="1" ht="18" customHeight="1">
      <c r="A56" s="578"/>
      <c r="B56" s="579"/>
      <c r="C56" s="580" t="s">
        <v>284</v>
      </c>
      <c r="D56" s="581">
        <f>SUM(D57,D58)</f>
        <v>350604</v>
      </c>
      <c r="E56" s="581">
        <f>SUM(E57,E58)</f>
        <v>146762.61000000002</v>
      </c>
      <c r="F56" s="582">
        <f t="shared" si="3"/>
        <v>41.85993599616662</v>
      </c>
      <c r="G56" s="583"/>
    </row>
    <row r="57" spans="1:7" s="776" customFormat="1" ht="18.75" customHeight="1">
      <c r="A57" s="770"/>
      <c r="B57" s="771"/>
      <c r="C57" s="772" t="s">
        <v>668</v>
      </c>
      <c r="D57" s="773">
        <v>201583</v>
      </c>
      <c r="E57" s="773">
        <v>86209.88</v>
      </c>
      <c r="F57" s="774">
        <f t="shared" si="3"/>
        <v>42.76644359891459</v>
      </c>
      <c r="G57" s="775"/>
    </row>
    <row r="58" spans="1:7" s="590" customFormat="1" ht="18.75" customHeight="1">
      <c r="A58" s="585"/>
      <c r="B58" s="586"/>
      <c r="C58" s="587" t="s">
        <v>285</v>
      </c>
      <c r="D58" s="588">
        <v>149021</v>
      </c>
      <c r="E58" s="588">
        <v>60552.73</v>
      </c>
      <c r="F58" s="589">
        <f t="shared" si="3"/>
        <v>40.63368921158763</v>
      </c>
      <c r="G58" s="583"/>
    </row>
    <row r="59" spans="1:7" s="563" customFormat="1" ht="18.75" customHeight="1">
      <c r="A59" s="616" t="s">
        <v>1419</v>
      </c>
      <c r="B59" s="558"/>
      <c r="C59" s="599" t="s">
        <v>1420</v>
      </c>
      <c r="D59" s="560">
        <f>D60+D66</f>
        <v>571100</v>
      </c>
      <c r="E59" s="560">
        <f>E60+E66</f>
        <v>256504.45</v>
      </c>
      <c r="F59" s="561">
        <f t="shared" si="3"/>
        <v>44.91410436000701</v>
      </c>
      <c r="G59" s="562"/>
    </row>
    <row r="60" spans="1:7" s="570" customFormat="1" ht="18.75" customHeight="1">
      <c r="A60" s="615"/>
      <c r="B60" s="565" t="s">
        <v>232</v>
      </c>
      <c r="C60" s="597" t="s">
        <v>233</v>
      </c>
      <c r="D60" s="567">
        <f>SUM(D61)</f>
        <v>315100</v>
      </c>
      <c r="E60" s="567">
        <f>SUM(E61)</f>
        <v>139656.75</v>
      </c>
      <c r="F60" s="568">
        <f t="shared" si="3"/>
        <v>44.321405902887975</v>
      </c>
      <c r="G60" s="562"/>
    </row>
    <row r="61" spans="1:7" s="577" customFormat="1" ht="18.75" customHeight="1">
      <c r="A61" s="571"/>
      <c r="B61" s="572"/>
      <c r="C61" s="573" t="s">
        <v>185</v>
      </c>
      <c r="D61" s="574">
        <f>SUM(D62,D65)</f>
        <v>315100</v>
      </c>
      <c r="E61" s="574">
        <f>SUM(E62,E65)</f>
        <v>139656.75</v>
      </c>
      <c r="F61" s="575">
        <f t="shared" si="3"/>
        <v>44.321405902887975</v>
      </c>
      <c r="G61" s="576"/>
    </row>
    <row r="62" spans="1:7" s="584" customFormat="1" ht="18" customHeight="1">
      <c r="A62" s="578"/>
      <c r="B62" s="579"/>
      <c r="C62" s="580" t="s">
        <v>284</v>
      </c>
      <c r="D62" s="581">
        <f>SUM(D63,D64)</f>
        <v>315100</v>
      </c>
      <c r="E62" s="581">
        <f>SUM(E63,E64)</f>
        <v>139656.75</v>
      </c>
      <c r="F62" s="582">
        <f t="shared" si="3"/>
        <v>44.321405902887975</v>
      </c>
      <c r="G62" s="583"/>
    </row>
    <row r="63" spans="1:7" s="776" customFormat="1" ht="18.75" customHeight="1">
      <c r="A63" s="770"/>
      <c r="B63" s="771"/>
      <c r="C63" s="772" t="s">
        <v>668</v>
      </c>
      <c r="D63" s="773">
        <v>24500</v>
      </c>
      <c r="E63" s="773">
        <v>0</v>
      </c>
      <c r="F63" s="774">
        <f t="shared" si="3"/>
        <v>0</v>
      </c>
      <c r="G63" s="775"/>
    </row>
    <row r="64" spans="1:7" s="590" customFormat="1" ht="18.75" customHeight="1">
      <c r="A64" s="585"/>
      <c r="B64" s="586"/>
      <c r="C64" s="587" t="s">
        <v>285</v>
      </c>
      <c r="D64" s="588">
        <v>290600</v>
      </c>
      <c r="E64" s="588">
        <v>139656.75</v>
      </c>
      <c r="F64" s="589">
        <f t="shared" si="3"/>
        <v>48.05806951135582</v>
      </c>
      <c r="G64" s="583"/>
    </row>
    <row r="65" spans="1:7" s="65" customFormat="1" ht="18" customHeight="1" hidden="1">
      <c r="A65" s="61"/>
      <c r="B65" s="62"/>
      <c r="C65" s="26" t="s">
        <v>304</v>
      </c>
      <c r="D65" s="27">
        <v>0</v>
      </c>
      <c r="E65" s="27">
        <v>0</v>
      </c>
      <c r="F65" s="63" t="e">
        <f>E65/D65*100</f>
        <v>#DIV/0!</v>
      </c>
      <c r="G65" s="64"/>
    </row>
    <row r="66" spans="1:7" s="570" customFormat="1" ht="18.75" customHeight="1">
      <c r="A66" s="615"/>
      <c r="B66" s="565" t="s">
        <v>669</v>
      </c>
      <c r="C66" s="597" t="s">
        <v>670</v>
      </c>
      <c r="D66" s="567">
        <f>SUM(D67)</f>
        <v>256000</v>
      </c>
      <c r="E66" s="567">
        <f>SUM(E67)</f>
        <v>116847.7</v>
      </c>
      <c r="F66" s="568">
        <f aca="true" t="shared" si="4" ref="F66:F92">E66/D66*100</f>
        <v>45.6436328125</v>
      </c>
      <c r="G66" s="562"/>
    </row>
    <row r="67" spans="1:7" s="577" customFormat="1" ht="18.75" customHeight="1">
      <c r="A67" s="571"/>
      <c r="B67" s="572"/>
      <c r="C67" s="573" t="s">
        <v>287</v>
      </c>
      <c r="D67" s="574">
        <f>SUM(D68,D69)</f>
        <v>256000</v>
      </c>
      <c r="E67" s="574">
        <f>SUM(E68,E69)</f>
        <v>116847.7</v>
      </c>
      <c r="F67" s="575">
        <f t="shared" si="4"/>
        <v>45.6436328125</v>
      </c>
      <c r="G67" s="576"/>
    </row>
    <row r="68" spans="1:7" s="584" customFormat="1" ht="26.25" customHeight="1">
      <c r="A68" s="578"/>
      <c r="B68" s="579"/>
      <c r="C68" s="580" t="s">
        <v>1367</v>
      </c>
      <c r="D68" s="581">
        <v>256000</v>
      </c>
      <c r="E68" s="581">
        <v>116847.7</v>
      </c>
      <c r="F68" s="582">
        <f t="shared" si="4"/>
        <v>45.6436328125</v>
      </c>
      <c r="G68" s="583"/>
    </row>
    <row r="69" spans="1:7" s="65" customFormat="1" ht="18" customHeight="1" hidden="1">
      <c r="A69" s="74"/>
      <c r="B69" s="62"/>
      <c r="C69" s="26" t="s">
        <v>304</v>
      </c>
      <c r="D69" s="27">
        <v>0</v>
      </c>
      <c r="E69" s="27">
        <v>0</v>
      </c>
      <c r="F69" s="63" t="e">
        <f t="shared" si="4"/>
        <v>#DIV/0!</v>
      </c>
      <c r="G69" s="64"/>
    </row>
    <row r="70" spans="1:7" s="563" customFormat="1" ht="18" customHeight="1">
      <c r="A70" s="616" t="s">
        <v>1421</v>
      </c>
      <c r="B70" s="558"/>
      <c r="C70" s="599" t="s">
        <v>1422</v>
      </c>
      <c r="D70" s="560">
        <f>D77+D84+D71</f>
        <v>13918333</v>
      </c>
      <c r="E70" s="560">
        <f>E77+E84+E71</f>
        <v>7232981.05</v>
      </c>
      <c r="F70" s="561">
        <f t="shared" si="4"/>
        <v>51.96729414363056</v>
      </c>
      <c r="G70" s="562"/>
    </row>
    <row r="71" spans="1:7" s="570" customFormat="1" ht="18.75" customHeight="1">
      <c r="A71" s="615"/>
      <c r="B71" s="565" t="s">
        <v>671</v>
      </c>
      <c r="C71" s="597" t="s">
        <v>673</v>
      </c>
      <c r="D71" s="567">
        <f>SUM(D72,D74)</f>
        <v>3578983</v>
      </c>
      <c r="E71" s="567">
        <f>SUM(E72,E74)</f>
        <v>554738.63</v>
      </c>
      <c r="F71" s="568">
        <f t="shared" si="4"/>
        <v>15.499895640744871</v>
      </c>
      <c r="G71" s="562"/>
    </row>
    <row r="72" spans="1:7" s="595" customFormat="1" ht="18.75" customHeight="1">
      <c r="A72" s="592"/>
      <c r="B72" s="593"/>
      <c r="C72" s="573" t="s">
        <v>185</v>
      </c>
      <c r="D72" s="574">
        <f>SUM(D73)</f>
        <v>320000</v>
      </c>
      <c r="E72" s="574">
        <f>SUM(E73)</f>
        <v>160000</v>
      </c>
      <c r="F72" s="575">
        <f t="shared" si="4"/>
        <v>50</v>
      </c>
      <c r="G72" s="594"/>
    </row>
    <row r="73" spans="1:7" s="757" customFormat="1" ht="18.75" customHeight="1">
      <c r="A73" s="751"/>
      <c r="B73" s="752"/>
      <c r="C73" s="753" t="s">
        <v>286</v>
      </c>
      <c r="D73" s="754">
        <v>320000</v>
      </c>
      <c r="E73" s="754">
        <v>160000</v>
      </c>
      <c r="F73" s="755">
        <f t="shared" si="4"/>
        <v>50</v>
      </c>
      <c r="G73" s="756"/>
    </row>
    <row r="74" spans="1:7" s="577" customFormat="1" ht="18.75" customHeight="1">
      <c r="A74" s="571"/>
      <c r="B74" s="572"/>
      <c r="C74" s="573" t="s">
        <v>287</v>
      </c>
      <c r="D74" s="574">
        <f>SUM(D75,D76)</f>
        <v>3258983</v>
      </c>
      <c r="E74" s="574">
        <f>SUM(E75,E76)</f>
        <v>394738.63</v>
      </c>
      <c r="F74" s="575">
        <f>E74/D74*100</f>
        <v>12.112325532228919</v>
      </c>
      <c r="G74" s="576"/>
    </row>
    <row r="75" spans="1:7" s="584" customFormat="1" ht="28.5" customHeight="1">
      <c r="A75" s="578"/>
      <c r="B75" s="579"/>
      <c r="C75" s="580" t="s">
        <v>1367</v>
      </c>
      <c r="D75" s="581">
        <v>2738000</v>
      </c>
      <c r="E75" s="581">
        <v>394738.63</v>
      </c>
      <c r="F75" s="582">
        <f>E75/D75*100</f>
        <v>14.417042731921109</v>
      </c>
      <c r="G75" s="583"/>
    </row>
    <row r="76" spans="1:7" s="584" customFormat="1" ht="21" customHeight="1">
      <c r="A76" s="617"/>
      <c r="B76" s="579"/>
      <c r="C76" s="26" t="s">
        <v>304</v>
      </c>
      <c r="D76" s="27">
        <v>520983</v>
      </c>
      <c r="E76" s="27">
        <v>0</v>
      </c>
      <c r="F76" s="582">
        <f>E76/D76*100</f>
        <v>0</v>
      </c>
      <c r="G76" s="583"/>
    </row>
    <row r="77" spans="1:7" s="570" customFormat="1" ht="17.25" customHeight="1">
      <c r="A77" s="615"/>
      <c r="B77" s="565" t="s">
        <v>1423</v>
      </c>
      <c r="C77" s="566" t="s">
        <v>1424</v>
      </c>
      <c r="D77" s="567">
        <f>SUM(D78,D82)</f>
        <v>8639350</v>
      </c>
      <c r="E77" s="567">
        <f>SUM(E78,E82)</f>
        <v>6579785.6899999995</v>
      </c>
      <c r="F77" s="568">
        <f t="shared" si="4"/>
        <v>76.16065664662271</v>
      </c>
      <c r="G77" s="562"/>
    </row>
    <row r="78" spans="1:7" s="577" customFormat="1" ht="18.75" customHeight="1">
      <c r="A78" s="571"/>
      <c r="B78" s="572"/>
      <c r="C78" s="573" t="s">
        <v>185</v>
      </c>
      <c r="D78" s="574">
        <f>SUM(D79)</f>
        <v>2205000</v>
      </c>
      <c r="E78" s="574">
        <f>SUM(E79)</f>
        <v>739425.69</v>
      </c>
      <c r="F78" s="575">
        <f t="shared" si="4"/>
        <v>33.534044897959184</v>
      </c>
      <c r="G78" s="576"/>
    </row>
    <row r="79" spans="1:7" s="584" customFormat="1" ht="18" customHeight="1">
      <c r="A79" s="578"/>
      <c r="B79" s="579"/>
      <c r="C79" s="580" t="s">
        <v>284</v>
      </c>
      <c r="D79" s="581">
        <f>SUM(D80,D81)</f>
        <v>2205000</v>
      </c>
      <c r="E79" s="581">
        <f>SUM(E80,E81)</f>
        <v>739425.69</v>
      </c>
      <c r="F79" s="582">
        <f>E79/D79*100</f>
        <v>33.534044897959184</v>
      </c>
      <c r="G79" s="583"/>
    </row>
    <row r="80" spans="1:7" s="590" customFormat="1" ht="18.75" customHeight="1" hidden="1">
      <c r="A80" s="585"/>
      <c r="B80" s="586"/>
      <c r="C80" s="587" t="s">
        <v>668</v>
      </c>
      <c r="D80" s="588">
        <v>0</v>
      </c>
      <c r="E80" s="588">
        <v>0</v>
      </c>
      <c r="F80" s="589" t="e">
        <f>E80/D80*100</f>
        <v>#DIV/0!</v>
      </c>
      <c r="G80" s="583"/>
    </row>
    <row r="81" spans="1:7" s="590" customFormat="1" ht="18.75" customHeight="1">
      <c r="A81" s="585"/>
      <c r="B81" s="586"/>
      <c r="C81" s="587" t="s">
        <v>285</v>
      </c>
      <c r="D81" s="588">
        <v>2205000</v>
      </c>
      <c r="E81" s="588">
        <v>739425.69</v>
      </c>
      <c r="F81" s="589">
        <f>E81/D81*100</f>
        <v>33.534044897959184</v>
      </c>
      <c r="G81" s="583"/>
    </row>
    <row r="82" spans="1:7" s="577" customFormat="1" ht="18.75" customHeight="1">
      <c r="A82" s="571"/>
      <c r="B82" s="572"/>
      <c r="C82" s="573" t="s">
        <v>287</v>
      </c>
      <c r="D82" s="574">
        <f>SUM(D83)</f>
        <v>6434350</v>
      </c>
      <c r="E82" s="574">
        <f>SUM(E83)</f>
        <v>5840360</v>
      </c>
      <c r="F82" s="575">
        <f>E82/D82*100</f>
        <v>90.76845368996092</v>
      </c>
      <c r="G82" s="576"/>
    </row>
    <row r="83" spans="1:7" s="584" customFormat="1" ht="27" customHeight="1">
      <c r="A83" s="578"/>
      <c r="B83" s="579"/>
      <c r="C83" s="580" t="s">
        <v>1367</v>
      </c>
      <c r="D83" s="581">
        <v>6434350</v>
      </c>
      <c r="E83" s="581">
        <v>5840360</v>
      </c>
      <c r="F83" s="582">
        <f>E83/D83*100</f>
        <v>90.76845368996092</v>
      </c>
      <c r="G83" s="583"/>
    </row>
    <row r="84" spans="1:7" s="570" customFormat="1" ht="18.75" customHeight="1">
      <c r="A84" s="615"/>
      <c r="B84" s="565" t="s">
        <v>674</v>
      </c>
      <c r="C84" s="597" t="s">
        <v>1358</v>
      </c>
      <c r="D84" s="567">
        <f>SUM(D85,D88)</f>
        <v>1700000</v>
      </c>
      <c r="E84" s="567">
        <f>SUM(E85,E88)</f>
        <v>98456.73</v>
      </c>
      <c r="F84" s="568">
        <f t="shared" si="4"/>
        <v>5.791572352941176</v>
      </c>
      <c r="G84" s="562"/>
    </row>
    <row r="85" spans="1:7" s="607" customFormat="1" ht="18.75" customHeight="1" hidden="1">
      <c r="A85" s="601"/>
      <c r="B85" s="602"/>
      <c r="C85" s="603" t="s">
        <v>185</v>
      </c>
      <c r="D85" s="604">
        <f>SUM(D86)</f>
        <v>0</v>
      </c>
      <c r="E85" s="604">
        <f>SUM(E86)</f>
        <v>0</v>
      </c>
      <c r="F85" s="605" t="e">
        <f>E85/D85*100</f>
        <v>#DIV/0!</v>
      </c>
      <c r="G85" s="606"/>
    </row>
    <row r="86" spans="1:7" s="614" customFormat="1" ht="18" customHeight="1" hidden="1">
      <c r="A86" s="608"/>
      <c r="B86" s="609"/>
      <c r="C86" s="610" t="s">
        <v>284</v>
      </c>
      <c r="D86" s="611">
        <f>SUM(D87)</f>
        <v>0</v>
      </c>
      <c r="E86" s="611">
        <f>SUM(E87)</f>
        <v>0</v>
      </c>
      <c r="F86" s="612" t="e">
        <f>E86/D86*100</f>
        <v>#DIV/0!</v>
      </c>
      <c r="G86" s="613"/>
    </row>
    <row r="87" spans="1:7" s="623" customFormat="1" ht="18.75" customHeight="1" hidden="1">
      <c r="A87" s="618"/>
      <c r="B87" s="619"/>
      <c r="C87" s="620" t="s">
        <v>285</v>
      </c>
      <c r="D87" s="621">
        <v>0</v>
      </c>
      <c r="E87" s="621">
        <v>0</v>
      </c>
      <c r="F87" s="622" t="e">
        <f>E87/D87*100</f>
        <v>#DIV/0!</v>
      </c>
      <c r="G87" s="613"/>
    </row>
    <row r="88" spans="1:7" s="577" customFormat="1" ht="18.75" customHeight="1">
      <c r="A88" s="571"/>
      <c r="B88" s="572"/>
      <c r="C88" s="573" t="s">
        <v>287</v>
      </c>
      <c r="D88" s="574">
        <f>SUM(D89)</f>
        <v>1700000</v>
      </c>
      <c r="E88" s="574">
        <f>SUM(E89)</f>
        <v>98456.73</v>
      </c>
      <c r="F88" s="575">
        <f t="shared" si="4"/>
        <v>5.791572352941176</v>
      </c>
      <c r="G88" s="576"/>
    </row>
    <row r="89" spans="1:7" s="584" customFormat="1" ht="29.25" customHeight="1">
      <c r="A89" s="578"/>
      <c r="B89" s="579"/>
      <c r="C89" s="580" t="s">
        <v>1367</v>
      </c>
      <c r="D89" s="581">
        <v>1700000</v>
      </c>
      <c r="E89" s="581">
        <v>98456.73</v>
      </c>
      <c r="F89" s="582">
        <f>E89/D89*100</f>
        <v>5.791572352941176</v>
      </c>
      <c r="G89" s="583"/>
    </row>
    <row r="90" spans="1:7" s="563" customFormat="1" ht="18.75" customHeight="1">
      <c r="A90" s="616" t="s">
        <v>1425</v>
      </c>
      <c r="B90" s="558"/>
      <c r="C90" s="559" t="s">
        <v>1426</v>
      </c>
      <c r="D90" s="560">
        <f>SUM(D91,D96,D100)</f>
        <v>1708400</v>
      </c>
      <c r="E90" s="560">
        <f>SUM(E91,E96,E100)</f>
        <v>215638.06</v>
      </c>
      <c r="F90" s="561">
        <f>E90/D90*100</f>
        <v>12.622223132755794</v>
      </c>
      <c r="G90" s="562"/>
    </row>
    <row r="91" spans="1:7" s="570" customFormat="1" ht="18.75" customHeight="1">
      <c r="A91" s="615"/>
      <c r="B91" s="565" t="s">
        <v>675</v>
      </c>
      <c r="C91" s="566" t="s">
        <v>677</v>
      </c>
      <c r="D91" s="567">
        <f>SUM(D92)</f>
        <v>403400</v>
      </c>
      <c r="E91" s="567">
        <f>SUM(E92)</f>
        <v>15738.6</v>
      </c>
      <c r="F91" s="568">
        <f t="shared" si="4"/>
        <v>3.901487357461577</v>
      </c>
      <c r="G91" s="562"/>
    </row>
    <row r="92" spans="1:7" s="577" customFormat="1" ht="18.75" customHeight="1">
      <c r="A92" s="571"/>
      <c r="B92" s="572"/>
      <c r="C92" s="573" t="s">
        <v>185</v>
      </c>
      <c r="D92" s="574">
        <f>SUM(D93)</f>
        <v>403400</v>
      </c>
      <c r="E92" s="574">
        <f>SUM(E93)</f>
        <v>15738.6</v>
      </c>
      <c r="F92" s="575">
        <f t="shared" si="4"/>
        <v>3.901487357461577</v>
      </c>
      <c r="G92" s="576"/>
    </row>
    <row r="93" spans="1:7" s="584" customFormat="1" ht="18" customHeight="1">
      <c r="A93" s="578"/>
      <c r="B93" s="579"/>
      <c r="C93" s="580" t="s">
        <v>284</v>
      </c>
      <c r="D93" s="581">
        <f>SUM(D94,D95)</f>
        <v>403400</v>
      </c>
      <c r="E93" s="581">
        <f>SUM(E94,E95)</f>
        <v>15738.6</v>
      </c>
      <c r="F93" s="582">
        <f aca="true" t="shared" si="5" ref="F93:F126">E93/D93*100</f>
        <v>3.901487357461577</v>
      </c>
      <c r="G93" s="583"/>
    </row>
    <row r="94" spans="1:7" s="776" customFormat="1" ht="18.75" customHeight="1">
      <c r="A94" s="770"/>
      <c r="B94" s="771"/>
      <c r="C94" s="772" t="s">
        <v>668</v>
      </c>
      <c r="D94" s="773">
        <v>13000</v>
      </c>
      <c r="E94" s="773">
        <v>2270.75</v>
      </c>
      <c r="F94" s="774">
        <f t="shared" si="5"/>
        <v>17.467307692307692</v>
      </c>
      <c r="G94" s="775"/>
    </row>
    <row r="95" spans="1:7" s="590" customFormat="1" ht="18.75" customHeight="1">
      <c r="A95" s="585"/>
      <c r="B95" s="586"/>
      <c r="C95" s="587" t="s">
        <v>285</v>
      </c>
      <c r="D95" s="588">
        <v>390400</v>
      </c>
      <c r="E95" s="588">
        <v>13467.85</v>
      </c>
      <c r="F95" s="589">
        <f t="shared" si="5"/>
        <v>3.449756659836066</v>
      </c>
      <c r="G95" s="583"/>
    </row>
    <row r="96" spans="1:7" s="570" customFormat="1" ht="18.75" customHeight="1">
      <c r="A96" s="615"/>
      <c r="B96" s="565" t="s">
        <v>1428</v>
      </c>
      <c r="C96" s="566" t="s">
        <v>1429</v>
      </c>
      <c r="D96" s="567">
        <f aca="true" t="shared" si="6" ref="D96:E98">SUM(D97)</f>
        <v>135000</v>
      </c>
      <c r="E96" s="567">
        <f t="shared" si="6"/>
        <v>48036.74</v>
      </c>
      <c r="F96" s="568">
        <f t="shared" si="5"/>
        <v>35.58277037037037</v>
      </c>
      <c r="G96" s="562"/>
    </row>
    <row r="97" spans="1:7" s="577" customFormat="1" ht="18.75" customHeight="1">
      <c r="A97" s="571"/>
      <c r="B97" s="572"/>
      <c r="C97" s="573" t="s">
        <v>185</v>
      </c>
      <c r="D97" s="574">
        <f t="shared" si="6"/>
        <v>135000</v>
      </c>
      <c r="E97" s="574">
        <f t="shared" si="6"/>
        <v>48036.74</v>
      </c>
      <c r="F97" s="575">
        <f t="shared" si="5"/>
        <v>35.58277037037037</v>
      </c>
      <c r="G97" s="576"/>
    </row>
    <row r="98" spans="1:7" s="584" customFormat="1" ht="18" customHeight="1">
      <c r="A98" s="578"/>
      <c r="B98" s="579"/>
      <c r="C98" s="580" t="s">
        <v>284</v>
      </c>
      <c r="D98" s="581">
        <f t="shared" si="6"/>
        <v>135000</v>
      </c>
      <c r="E98" s="581">
        <f t="shared" si="6"/>
        <v>48036.74</v>
      </c>
      <c r="F98" s="582">
        <f t="shared" si="5"/>
        <v>35.58277037037037</v>
      </c>
      <c r="G98" s="583"/>
    </row>
    <row r="99" spans="1:7" s="590" customFormat="1" ht="18.75" customHeight="1">
      <c r="A99" s="585"/>
      <c r="B99" s="586"/>
      <c r="C99" s="587" t="s">
        <v>285</v>
      </c>
      <c r="D99" s="588">
        <v>135000</v>
      </c>
      <c r="E99" s="588">
        <v>48036.74</v>
      </c>
      <c r="F99" s="589">
        <f t="shared" si="5"/>
        <v>35.58277037037037</v>
      </c>
      <c r="G99" s="583"/>
    </row>
    <row r="100" spans="1:8" s="598" customFormat="1" ht="18.75" customHeight="1">
      <c r="A100" s="615"/>
      <c r="B100" s="565" t="s">
        <v>1435</v>
      </c>
      <c r="C100" s="624" t="s">
        <v>1436</v>
      </c>
      <c r="D100" s="567">
        <f>SUM(D101,D104)</f>
        <v>1170000</v>
      </c>
      <c r="E100" s="567">
        <f>SUM(E101,E104)</f>
        <v>151862.72</v>
      </c>
      <c r="F100" s="568">
        <f t="shared" si="5"/>
        <v>12.97971965811966</v>
      </c>
      <c r="G100" s="562"/>
      <c r="H100" s="570"/>
    </row>
    <row r="101" spans="1:7" s="577" customFormat="1" ht="18.75" customHeight="1">
      <c r="A101" s="571"/>
      <c r="B101" s="572"/>
      <c r="C101" s="573" t="s">
        <v>185</v>
      </c>
      <c r="D101" s="574">
        <f>SUM(D102)</f>
        <v>370000</v>
      </c>
      <c r="E101" s="574">
        <f>SUM(E102)</f>
        <v>151862.72</v>
      </c>
      <c r="F101" s="575">
        <f t="shared" si="5"/>
        <v>41.04397837837838</v>
      </c>
      <c r="G101" s="576"/>
    </row>
    <row r="102" spans="1:7" s="584" customFormat="1" ht="18" customHeight="1">
      <c r="A102" s="578"/>
      <c r="B102" s="579"/>
      <c r="C102" s="580" t="s">
        <v>284</v>
      </c>
      <c r="D102" s="581">
        <f>SUM(D103)</f>
        <v>370000</v>
      </c>
      <c r="E102" s="581">
        <f>SUM(E103)</f>
        <v>151862.72</v>
      </c>
      <c r="F102" s="582">
        <f t="shared" si="5"/>
        <v>41.04397837837838</v>
      </c>
      <c r="G102" s="583"/>
    </row>
    <row r="103" spans="1:7" s="590" customFormat="1" ht="18.75" customHeight="1">
      <c r="A103" s="585"/>
      <c r="B103" s="586"/>
      <c r="C103" s="587" t="s">
        <v>285</v>
      </c>
      <c r="D103" s="588">
        <v>370000</v>
      </c>
      <c r="E103" s="588">
        <v>151862.72</v>
      </c>
      <c r="F103" s="589">
        <f t="shared" si="5"/>
        <v>41.04397837837838</v>
      </c>
      <c r="G103" s="583"/>
    </row>
    <row r="104" spans="1:7" s="60" customFormat="1" ht="18.75" customHeight="1">
      <c r="A104" s="54"/>
      <c r="B104" s="55"/>
      <c r="C104" s="56" t="s">
        <v>287</v>
      </c>
      <c r="D104" s="57">
        <f>SUM(D105)</f>
        <v>800000</v>
      </c>
      <c r="E104" s="57">
        <f>SUM(E105)</f>
        <v>0</v>
      </c>
      <c r="F104" s="58">
        <f t="shared" si="5"/>
        <v>0</v>
      </c>
      <c r="G104" s="59"/>
    </row>
    <row r="105" spans="1:7" s="65" customFormat="1" ht="27" customHeight="1">
      <c r="A105" s="61"/>
      <c r="B105" s="62"/>
      <c r="C105" s="26" t="s">
        <v>1367</v>
      </c>
      <c r="D105" s="27">
        <v>800000</v>
      </c>
      <c r="E105" s="27">
        <v>0</v>
      </c>
      <c r="F105" s="63">
        <f t="shared" si="5"/>
        <v>0</v>
      </c>
      <c r="G105" s="64"/>
    </row>
    <row r="106" spans="1:7" s="563" customFormat="1" ht="18.75" customHeight="1">
      <c r="A106" s="616" t="s">
        <v>1437</v>
      </c>
      <c r="B106" s="558"/>
      <c r="C106" s="599" t="s">
        <v>1438</v>
      </c>
      <c r="D106" s="560">
        <f>SUM(D107,D112,D120,D129,D135,D141)</f>
        <v>17648487</v>
      </c>
      <c r="E106" s="560">
        <f>SUM(E107,E112,E120,E129,E135,E141)</f>
        <v>6965346.09</v>
      </c>
      <c r="F106" s="561">
        <f t="shared" si="5"/>
        <v>39.467100437561584</v>
      </c>
      <c r="G106" s="562"/>
    </row>
    <row r="107" spans="1:7" s="570" customFormat="1" ht="18.75" customHeight="1">
      <c r="A107" s="615"/>
      <c r="B107" s="565" t="s">
        <v>1439</v>
      </c>
      <c r="C107" s="624" t="s">
        <v>1445</v>
      </c>
      <c r="D107" s="567">
        <f>D108</f>
        <v>373400</v>
      </c>
      <c r="E107" s="567">
        <f>E108</f>
        <v>202261</v>
      </c>
      <c r="F107" s="568">
        <f t="shared" si="5"/>
        <v>54.16738082485271</v>
      </c>
      <c r="G107" s="562"/>
    </row>
    <row r="108" spans="1:7" s="577" customFormat="1" ht="18.75" customHeight="1">
      <c r="A108" s="571"/>
      <c r="B108" s="572"/>
      <c r="C108" s="573" t="s">
        <v>185</v>
      </c>
      <c r="D108" s="574">
        <f>SUM(D109)</f>
        <v>373400</v>
      </c>
      <c r="E108" s="574">
        <f>SUM(E109)</f>
        <v>202261</v>
      </c>
      <c r="F108" s="575">
        <f t="shared" si="5"/>
        <v>54.16738082485271</v>
      </c>
      <c r="G108" s="576"/>
    </row>
    <row r="109" spans="1:7" s="584" customFormat="1" ht="18" customHeight="1">
      <c r="A109" s="578"/>
      <c r="B109" s="579"/>
      <c r="C109" s="580" t="s">
        <v>284</v>
      </c>
      <c r="D109" s="581">
        <f>SUM(D110,D111)</f>
        <v>373400</v>
      </c>
      <c r="E109" s="581">
        <f>SUM(E110,E111)</f>
        <v>202261</v>
      </c>
      <c r="F109" s="582">
        <f t="shared" si="5"/>
        <v>54.16738082485271</v>
      </c>
      <c r="G109" s="583"/>
    </row>
    <row r="110" spans="1:7" s="776" customFormat="1" ht="18.75" customHeight="1">
      <c r="A110" s="770"/>
      <c r="B110" s="771"/>
      <c r="C110" s="772" t="s">
        <v>668</v>
      </c>
      <c r="D110" s="773">
        <v>373400</v>
      </c>
      <c r="E110" s="773">
        <v>202261</v>
      </c>
      <c r="F110" s="774">
        <f t="shared" si="5"/>
        <v>54.16738082485271</v>
      </c>
      <c r="G110" s="775"/>
    </row>
    <row r="111" spans="1:7" s="590" customFormat="1" ht="18.75" customHeight="1" hidden="1">
      <c r="A111" s="585"/>
      <c r="B111" s="586"/>
      <c r="C111" s="587" t="s">
        <v>285</v>
      </c>
      <c r="D111" s="588">
        <v>0</v>
      </c>
      <c r="E111" s="588">
        <v>0</v>
      </c>
      <c r="F111" s="589" t="e">
        <f t="shared" si="5"/>
        <v>#DIV/0!</v>
      </c>
      <c r="G111" s="583"/>
    </row>
    <row r="112" spans="1:7" s="570" customFormat="1" ht="18.75" customHeight="1">
      <c r="A112" s="615"/>
      <c r="B112" s="565" t="s">
        <v>678</v>
      </c>
      <c r="C112" s="597" t="s">
        <v>679</v>
      </c>
      <c r="D112" s="567">
        <f>SUM(D113,D118)</f>
        <v>499000</v>
      </c>
      <c r="E112" s="567">
        <f>SUM(E113,E118)</f>
        <v>230005.25</v>
      </c>
      <c r="F112" s="568">
        <f t="shared" si="5"/>
        <v>46.09323647294589</v>
      </c>
      <c r="G112" s="562"/>
    </row>
    <row r="113" spans="1:7" s="577" customFormat="1" ht="18.75" customHeight="1">
      <c r="A113" s="571"/>
      <c r="B113" s="572"/>
      <c r="C113" s="573" t="s">
        <v>185</v>
      </c>
      <c r="D113" s="574">
        <f>SUM(D114,D117)</f>
        <v>499000</v>
      </c>
      <c r="E113" s="574">
        <f>SUM(E114,E117)</f>
        <v>230005.25</v>
      </c>
      <c r="F113" s="575">
        <f t="shared" si="5"/>
        <v>46.09323647294589</v>
      </c>
      <c r="G113" s="576"/>
    </row>
    <row r="114" spans="1:7" s="584" customFormat="1" ht="18" customHeight="1">
      <c r="A114" s="578"/>
      <c r="B114" s="579"/>
      <c r="C114" s="580" t="s">
        <v>284</v>
      </c>
      <c r="D114" s="581">
        <f>SUM(D115,D116)</f>
        <v>51000</v>
      </c>
      <c r="E114" s="581">
        <f>SUM(E115,E116)</f>
        <v>15054.07</v>
      </c>
      <c r="F114" s="582">
        <f t="shared" si="5"/>
        <v>29.517784313725485</v>
      </c>
      <c r="G114" s="583"/>
    </row>
    <row r="115" spans="1:7" s="590" customFormat="1" ht="18.75" customHeight="1" hidden="1">
      <c r="A115" s="585"/>
      <c r="B115" s="586"/>
      <c r="C115" s="587" t="s">
        <v>668</v>
      </c>
      <c r="D115" s="588"/>
      <c r="E115" s="588"/>
      <c r="F115" s="589" t="e">
        <f>E115/D115*100</f>
        <v>#DIV/0!</v>
      </c>
      <c r="G115" s="583"/>
    </row>
    <row r="116" spans="1:7" s="590" customFormat="1" ht="18.75" customHeight="1">
      <c r="A116" s="585"/>
      <c r="B116" s="586"/>
      <c r="C116" s="587" t="s">
        <v>285</v>
      </c>
      <c r="D116" s="588">
        <v>51000</v>
      </c>
      <c r="E116" s="588">
        <v>15054.07</v>
      </c>
      <c r="F116" s="589">
        <f t="shared" si="5"/>
        <v>29.517784313725485</v>
      </c>
      <c r="G116" s="583"/>
    </row>
    <row r="117" spans="1:7" s="584" customFormat="1" ht="18.75" customHeight="1">
      <c r="A117" s="617"/>
      <c r="B117" s="579"/>
      <c r="C117" s="625" t="s">
        <v>296</v>
      </c>
      <c r="D117" s="581">
        <v>448000</v>
      </c>
      <c r="E117" s="581">
        <v>214951.18</v>
      </c>
      <c r="F117" s="582">
        <f t="shared" si="5"/>
        <v>47.98017410714285</v>
      </c>
      <c r="G117" s="583"/>
    </row>
    <row r="118" spans="1:7" s="577" customFormat="1" ht="18.75" customHeight="1" hidden="1">
      <c r="A118" s="571"/>
      <c r="B118" s="572"/>
      <c r="C118" s="573" t="s">
        <v>287</v>
      </c>
      <c r="D118" s="574">
        <f>SUM(D119)</f>
        <v>0</v>
      </c>
      <c r="E118" s="574">
        <f>SUM(E119)</f>
        <v>0</v>
      </c>
      <c r="F118" s="575" t="e">
        <f t="shared" si="5"/>
        <v>#DIV/0!</v>
      </c>
      <c r="G118" s="576"/>
    </row>
    <row r="119" spans="1:7" s="584" customFormat="1" ht="26.25" customHeight="1" hidden="1">
      <c r="A119" s="578"/>
      <c r="B119" s="579"/>
      <c r="C119" s="580" t="s">
        <v>1367</v>
      </c>
      <c r="D119" s="581">
        <v>0</v>
      </c>
      <c r="E119" s="581">
        <v>0</v>
      </c>
      <c r="F119" s="582" t="e">
        <f t="shared" si="5"/>
        <v>#DIV/0!</v>
      </c>
      <c r="G119" s="583"/>
    </row>
    <row r="120" spans="1:7" s="570" customFormat="1" ht="18.75" customHeight="1">
      <c r="A120" s="615"/>
      <c r="B120" s="565" t="s">
        <v>1448</v>
      </c>
      <c r="C120" s="597" t="s">
        <v>219</v>
      </c>
      <c r="D120" s="567">
        <f>SUM(D121,D127)</f>
        <v>14248943</v>
      </c>
      <c r="E120" s="567">
        <f>SUM(E121,E127)</f>
        <v>6191746.279999999</v>
      </c>
      <c r="F120" s="568">
        <f t="shared" si="5"/>
        <v>43.45407431274025</v>
      </c>
      <c r="G120" s="562"/>
    </row>
    <row r="121" spans="1:7" s="577" customFormat="1" ht="18.75" customHeight="1">
      <c r="A121" s="571"/>
      <c r="B121" s="572"/>
      <c r="C121" s="573" t="s">
        <v>185</v>
      </c>
      <c r="D121" s="574">
        <f>SUM(D122,D125,D126)</f>
        <v>13999209</v>
      </c>
      <c r="E121" s="574">
        <f>SUM(E122,E125,E126)</f>
        <v>6103744.699999999</v>
      </c>
      <c r="F121" s="575">
        <f t="shared" si="5"/>
        <v>43.600639864723775</v>
      </c>
      <c r="G121" s="576"/>
    </row>
    <row r="122" spans="1:7" s="584" customFormat="1" ht="18" customHeight="1">
      <c r="A122" s="578"/>
      <c r="B122" s="579"/>
      <c r="C122" s="580" t="s">
        <v>284</v>
      </c>
      <c r="D122" s="581">
        <f>SUM(D123,D124)</f>
        <v>13991209</v>
      </c>
      <c r="E122" s="581">
        <f>SUM(E123,E124)</f>
        <v>6097728.789999999</v>
      </c>
      <c r="F122" s="582">
        <f t="shared" si="5"/>
        <v>43.582572385274204</v>
      </c>
      <c r="G122" s="583"/>
    </row>
    <row r="123" spans="1:7" s="776" customFormat="1" ht="18.75" customHeight="1">
      <c r="A123" s="770"/>
      <c r="B123" s="771"/>
      <c r="C123" s="772" t="s">
        <v>668</v>
      </c>
      <c r="D123" s="773">
        <v>10810872</v>
      </c>
      <c r="E123" s="773">
        <v>4754129.1</v>
      </c>
      <c r="F123" s="774">
        <f t="shared" si="5"/>
        <v>43.975445273979744</v>
      </c>
      <c r="G123" s="775"/>
    </row>
    <row r="124" spans="1:7" s="590" customFormat="1" ht="18.75" customHeight="1">
      <c r="A124" s="585"/>
      <c r="B124" s="586"/>
      <c r="C124" s="587" t="s">
        <v>285</v>
      </c>
      <c r="D124" s="588">
        <v>3180337</v>
      </c>
      <c r="E124" s="588">
        <v>1343599.69</v>
      </c>
      <c r="F124" s="589">
        <f t="shared" si="5"/>
        <v>42.24708545037837</v>
      </c>
      <c r="G124" s="583"/>
    </row>
    <row r="125" spans="1:7" s="584" customFormat="1" ht="18.75" customHeight="1">
      <c r="A125" s="617"/>
      <c r="B125" s="579"/>
      <c r="C125" s="625" t="s">
        <v>296</v>
      </c>
      <c r="D125" s="581">
        <v>8000</v>
      </c>
      <c r="E125" s="581">
        <v>6015.91</v>
      </c>
      <c r="F125" s="582">
        <f t="shared" si="5"/>
        <v>75.198875</v>
      </c>
      <c r="G125" s="583"/>
    </row>
    <row r="126" spans="1:7" s="65" customFormat="1" ht="18.75" customHeight="1" hidden="1">
      <c r="A126" s="74"/>
      <c r="B126" s="62"/>
      <c r="C126" s="77" t="s">
        <v>304</v>
      </c>
      <c r="D126" s="27">
        <v>0</v>
      </c>
      <c r="E126" s="27">
        <v>0</v>
      </c>
      <c r="F126" s="63" t="e">
        <f t="shared" si="5"/>
        <v>#DIV/0!</v>
      </c>
      <c r="G126" s="64"/>
    </row>
    <row r="127" spans="1:7" s="577" customFormat="1" ht="18.75" customHeight="1">
      <c r="A127" s="571"/>
      <c r="B127" s="572"/>
      <c r="C127" s="573" t="s">
        <v>287</v>
      </c>
      <c r="D127" s="574">
        <f>SUM(D128)</f>
        <v>249734</v>
      </c>
      <c r="E127" s="574">
        <f>SUM(E128)</f>
        <v>88001.58</v>
      </c>
      <c r="F127" s="575">
        <f aca="true" t="shared" si="7" ref="F127:F181">E127/D127*100</f>
        <v>35.238125365388775</v>
      </c>
      <c r="G127" s="576"/>
    </row>
    <row r="128" spans="1:7" s="584" customFormat="1" ht="25.5" customHeight="1">
      <c r="A128" s="578"/>
      <c r="B128" s="579"/>
      <c r="C128" s="580" t="s">
        <v>1367</v>
      </c>
      <c r="D128" s="581">
        <v>249734</v>
      </c>
      <c r="E128" s="581">
        <v>88001.58</v>
      </c>
      <c r="F128" s="582">
        <f t="shared" si="7"/>
        <v>35.238125365388775</v>
      </c>
      <c r="G128" s="583"/>
    </row>
    <row r="129" spans="1:7" s="38" customFormat="1" ht="18.75" customHeight="1" hidden="1">
      <c r="A129" s="75"/>
      <c r="B129" s="52" t="s">
        <v>1370</v>
      </c>
      <c r="C129" s="73" t="s">
        <v>1371</v>
      </c>
      <c r="D129" s="25">
        <f>SUM(D130)</f>
        <v>0</v>
      </c>
      <c r="E129" s="25">
        <f>SUM(E130)</f>
        <v>0</v>
      </c>
      <c r="F129" s="53" t="e">
        <f t="shared" si="7"/>
        <v>#DIV/0!</v>
      </c>
      <c r="G129" s="51"/>
    </row>
    <row r="130" spans="1:7" s="60" customFormat="1" ht="18.75" customHeight="1" hidden="1">
      <c r="A130" s="54"/>
      <c r="B130" s="55"/>
      <c r="C130" s="56" t="s">
        <v>185</v>
      </c>
      <c r="D130" s="57">
        <f>SUM(D131,D134)</f>
        <v>0</v>
      </c>
      <c r="E130" s="57">
        <f>SUM(E131,E134)</f>
        <v>0</v>
      </c>
      <c r="F130" s="58" t="e">
        <f t="shared" si="7"/>
        <v>#DIV/0!</v>
      </c>
      <c r="G130" s="59"/>
    </row>
    <row r="131" spans="1:7" s="65" customFormat="1" ht="18" customHeight="1" hidden="1">
      <c r="A131" s="61"/>
      <c r="B131" s="62"/>
      <c r="C131" s="26" t="s">
        <v>284</v>
      </c>
      <c r="D131" s="27">
        <f>SUM(D132,D133)</f>
        <v>0</v>
      </c>
      <c r="E131" s="27">
        <f>SUM(E132,E133)</f>
        <v>0</v>
      </c>
      <c r="F131" s="63" t="e">
        <f t="shared" si="7"/>
        <v>#DIV/0!</v>
      </c>
      <c r="G131" s="64"/>
    </row>
    <row r="132" spans="1:7" s="71" customFormat="1" ht="18.75" customHeight="1" hidden="1">
      <c r="A132" s="66"/>
      <c r="B132" s="67"/>
      <c r="C132" s="68" t="s">
        <v>668</v>
      </c>
      <c r="D132" s="69">
        <v>0</v>
      </c>
      <c r="E132" s="69">
        <v>0</v>
      </c>
      <c r="F132" s="70" t="e">
        <f t="shared" si="7"/>
        <v>#DIV/0!</v>
      </c>
      <c r="G132" s="64"/>
    </row>
    <row r="133" spans="1:7" s="71" customFormat="1" ht="18.75" customHeight="1" hidden="1">
      <c r="A133" s="66"/>
      <c r="B133" s="67"/>
      <c r="C133" s="68" t="s">
        <v>285</v>
      </c>
      <c r="D133" s="69">
        <v>0</v>
      </c>
      <c r="E133" s="69">
        <v>0</v>
      </c>
      <c r="F133" s="70" t="e">
        <f t="shared" si="7"/>
        <v>#DIV/0!</v>
      </c>
      <c r="G133" s="64"/>
    </row>
    <row r="134" spans="1:7" s="65" customFormat="1" ht="18.75" customHeight="1" hidden="1">
      <c r="A134" s="74"/>
      <c r="B134" s="62"/>
      <c r="C134" s="77" t="s">
        <v>296</v>
      </c>
      <c r="D134" s="27">
        <v>0</v>
      </c>
      <c r="E134" s="27">
        <v>0</v>
      </c>
      <c r="F134" s="63" t="e">
        <f t="shared" si="7"/>
        <v>#DIV/0!</v>
      </c>
      <c r="G134" s="64"/>
    </row>
    <row r="135" spans="1:8" s="626" customFormat="1" ht="18.75" customHeight="1">
      <c r="A135" s="615"/>
      <c r="B135" s="565" t="s">
        <v>1193</v>
      </c>
      <c r="C135" s="597" t="s">
        <v>1195</v>
      </c>
      <c r="D135" s="567">
        <f>SUM(D136)</f>
        <v>1263400</v>
      </c>
      <c r="E135" s="567">
        <f>SUM(E136)</f>
        <v>221943.33</v>
      </c>
      <c r="F135" s="568">
        <f t="shared" si="7"/>
        <v>17.567146588570523</v>
      </c>
      <c r="G135" s="583"/>
      <c r="H135" s="584"/>
    </row>
    <row r="136" spans="1:7" s="577" customFormat="1" ht="18.75" customHeight="1">
      <c r="A136" s="571"/>
      <c r="B136" s="572"/>
      <c r="C136" s="573" t="s">
        <v>185</v>
      </c>
      <c r="D136" s="574">
        <f>SUM(D137,D140)</f>
        <v>1263400</v>
      </c>
      <c r="E136" s="574">
        <f>SUM(E137,E140)</f>
        <v>221943.33</v>
      </c>
      <c r="F136" s="575">
        <f t="shared" si="7"/>
        <v>17.567146588570523</v>
      </c>
      <c r="G136" s="576"/>
    </row>
    <row r="137" spans="1:7" s="584" customFormat="1" ht="18" customHeight="1">
      <c r="A137" s="578"/>
      <c r="B137" s="579"/>
      <c r="C137" s="580" t="s">
        <v>284</v>
      </c>
      <c r="D137" s="581">
        <f>SUM(D138,D139)</f>
        <v>1257400</v>
      </c>
      <c r="E137" s="581">
        <f>SUM(E138,E139)</f>
        <v>221943.33</v>
      </c>
      <c r="F137" s="582">
        <f t="shared" si="7"/>
        <v>17.650972641959598</v>
      </c>
      <c r="G137" s="583"/>
    </row>
    <row r="138" spans="1:7" s="776" customFormat="1" ht="18.75" customHeight="1">
      <c r="A138" s="770"/>
      <c r="B138" s="771"/>
      <c r="C138" s="772" t="s">
        <v>668</v>
      </c>
      <c r="D138" s="773">
        <v>17400</v>
      </c>
      <c r="E138" s="773">
        <v>7233.3</v>
      </c>
      <c r="F138" s="774">
        <f t="shared" si="7"/>
        <v>41.570689655172416</v>
      </c>
      <c r="G138" s="775"/>
    </row>
    <row r="139" spans="1:7" s="590" customFormat="1" ht="18.75" customHeight="1">
      <c r="A139" s="585"/>
      <c r="B139" s="586"/>
      <c r="C139" s="587" t="s">
        <v>285</v>
      </c>
      <c r="D139" s="588">
        <v>1240000</v>
      </c>
      <c r="E139" s="588">
        <v>214710.03</v>
      </c>
      <c r="F139" s="589">
        <f t="shared" si="7"/>
        <v>17.315325</v>
      </c>
      <c r="G139" s="583"/>
    </row>
    <row r="140" spans="1:7" s="590" customFormat="1" ht="18.75" customHeight="1">
      <c r="A140" s="1466"/>
      <c r="B140" s="586"/>
      <c r="C140" s="625" t="s">
        <v>296</v>
      </c>
      <c r="D140" s="588">
        <v>6000</v>
      </c>
      <c r="E140" s="588">
        <v>0</v>
      </c>
      <c r="F140" s="589">
        <f t="shared" si="7"/>
        <v>0</v>
      </c>
      <c r="G140" s="583"/>
    </row>
    <row r="141" spans="1:8" s="626" customFormat="1" ht="18.75" customHeight="1">
      <c r="A141" s="615"/>
      <c r="B141" s="565" t="s">
        <v>1450</v>
      </c>
      <c r="C141" s="597" t="s">
        <v>1358</v>
      </c>
      <c r="D141" s="567">
        <f>SUM(D142,D150)</f>
        <v>1263744</v>
      </c>
      <c r="E141" s="567">
        <f>SUM(E142,E150)</f>
        <v>119390.23</v>
      </c>
      <c r="F141" s="568">
        <f t="shared" si="7"/>
        <v>9.447342974526487</v>
      </c>
      <c r="G141" s="583"/>
      <c r="H141" s="584"/>
    </row>
    <row r="142" spans="1:7" s="577" customFormat="1" ht="18.75" customHeight="1">
      <c r="A142" s="571"/>
      <c r="B142" s="572"/>
      <c r="C142" s="573" t="s">
        <v>185</v>
      </c>
      <c r="D142" s="574">
        <f>SUM(D143,D146,D148,D149)</f>
        <v>455744</v>
      </c>
      <c r="E142" s="574">
        <f>SUM(E143,E146,E148,E149)</f>
        <v>112061.58</v>
      </c>
      <c r="F142" s="575">
        <f t="shared" si="7"/>
        <v>24.588712083976972</v>
      </c>
      <c r="G142" s="576"/>
    </row>
    <row r="143" spans="1:7" s="584" customFormat="1" ht="18" customHeight="1">
      <c r="A143" s="578"/>
      <c r="B143" s="579"/>
      <c r="C143" s="580" t="s">
        <v>284</v>
      </c>
      <c r="D143" s="581">
        <f>SUM(D144,D145)</f>
        <v>455744</v>
      </c>
      <c r="E143" s="581">
        <f>SUM(E144,E145)</f>
        <v>112061.58</v>
      </c>
      <c r="F143" s="582">
        <f t="shared" si="7"/>
        <v>24.588712083976972</v>
      </c>
      <c r="G143" s="583"/>
    </row>
    <row r="144" spans="1:7" s="776" customFormat="1" ht="18.75" customHeight="1">
      <c r="A144" s="770"/>
      <c r="B144" s="771"/>
      <c r="C144" s="772" t="s">
        <v>668</v>
      </c>
      <c r="D144" s="773">
        <v>7000</v>
      </c>
      <c r="E144" s="773">
        <v>0</v>
      </c>
      <c r="F144" s="774">
        <f t="shared" si="7"/>
        <v>0</v>
      </c>
      <c r="G144" s="775"/>
    </row>
    <row r="145" spans="1:7" s="71" customFormat="1" ht="27" customHeight="1">
      <c r="A145" s="66"/>
      <c r="B145" s="67"/>
      <c r="C145" s="627" t="s">
        <v>873</v>
      </c>
      <c r="D145" s="588">
        <v>448744</v>
      </c>
      <c r="E145" s="588">
        <v>112061.58</v>
      </c>
      <c r="F145" s="589">
        <f t="shared" si="7"/>
        <v>24.972273723994082</v>
      </c>
      <c r="G145" s="64"/>
    </row>
    <row r="146" spans="1:7" s="71" customFormat="1" ht="18.75" customHeight="1" hidden="1">
      <c r="A146" s="66"/>
      <c r="B146" s="67"/>
      <c r="C146" s="26" t="s">
        <v>303</v>
      </c>
      <c r="D146" s="27">
        <f>SUM(D147)</f>
        <v>0</v>
      </c>
      <c r="E146" s="27">
        <f>SUM(E147)</f>
        <v>0</v>
      </c>
      <c r="F146" s="63" t="e">
        <f t="shared" si="7"/>
        <v>#DIV/0!</v>
      </c>
      <c r="G146" s="64"/>
    </row>
    <row r="147" spans="1:7" s="71" customFormat="1" ht="18.75" customHeight="1" hidden="1">
      <c r="A147" s="66"/>
      <c r="B147" s="67"/>
      <c r="C147" s="68" t="s">
        <v>62</v>
      </c>
      <c r="D147" s="69"/>
      <c r="E147" s="69"/>
      <c r="F147" s="70" t="e">
        <f>E147/D147*100</f>
        <v>#DIV/0!</v>
      </c>
      <c r="G147" s="64"/>
    </row>
    <row r="148" spans="1:7" s="65" customFormat="1" ht="18.75" customHeight="1" hidden="1">
      <c r="A148" s="61"/>
      <c r="B148" s="62"/>
      <c r="C148" s="26" t="s">
        <v>286</v>
      </c>
      <c r="D148" s="27"/>
      <c r="E148" s="27"/>
      <c r="F148" s="63" t="e">
        <f t="shared" si="7"/>
        <v>#DIV/0!</v>
      </c>
      <c r="G148" s="72"/>
    </row>
    <row r="149" spans="1:7" s="65" customFormat="1" ht="18.75" customHeight="1" hidden="1">
      <c r="A149" s="61"/>
      <c r="B149" s="62"/>
      <c r="C149" s="26" t="s">
        <v>304</v>
      </c>
      <c r="D149" s="27">
        <v>0</v>
      </c>
      <c r="E149" s="27">
        <v>0</v>
      </c>
      <c r="F149" s="63" t="e">
        <f>E149/D149*100</f>
        <v>#DIV/0!</v>
      </c>
      <c r="G149" s="72"/>
    </row>
    <row r="150" spans="1:7" s="577" customFormat="1" ht="18.75" customHeight="1">
      <c r="A150" s="571"/>
      <c r="B150" s="572"/>
      <c r="C150" s="573" t="s">
        <v>287</v>
      </c>
      <c r="D150" s="574">
        <f>SUM(D151)</f>
        <v>808000</v>
      </c>
      <c r="E150" s="574">
        <f>SUM(E151)</f>
        <v>7328.65</v>
      </c>
      <c r="F150" s="575">
        <f t="shared" si="7"/>
        <v>0.9070111386138613</v>
      </c>
      <c r="G150" s="576"/>
    </row>
    <row r="151" spans="1:7" s="584" customFormat="1" ht="24.75" customHeight="1">
      <c r="A151" s="578"/>
      <c r="B151" s="579"/>
      <c r="C151" s="580" t="s">
        <v>1367</v>
      </c>
      <c r="D151" s="581">
        <v>808000</v>
      </c>
      <c r="E151" s="581">
        <v>7328.65</v>
      </c>
      <c r="F151" s="582">
        <f t="shared" si="7"/>
        <v>0.9070111386138613</v>
      </c>
      <c r="G151" s="583"/>
    </row>
    <row r="152" spans="1:8" s="626" customFormat="1" ht="51.75" customHeight="1">
      <c r="A152" s="628" t="s">
        <v>164</v>
      </c>
      <c r="B152" s="558"/>
      <c r="C152" s="559" t="s">
        <v>1451</v>
      </c>
      <c r="D152" s="629">
        <f>SUM(D153,D157,D163)</f>
        <v>7164</v>
      </c>
      <c r="E152" s="629">
        <f>SUM(E153,E157,E163)</f>
        <v>382.85</v>
      </c>
      <c r="F152" s="561">
        <f t="shared" si="7"/>
        <v>5.344081518704635</v>
      </c>
      <c r="G152" s="583"/>
      <c r="H152" s="584"/>
    </row>
    <row r="153" spans="1:8" s="626" customFormat="1" ht="26.25" customHeight="1">
      <c r="A153" s="615"/>
      <c r="B153" s="630" t="s">
        <v>116</v>
      </c>
      <c r="C153" s="566" t="s">
        <v>680</v>
      </c>
      <c r="D153" s="631">
        <f>D154</f>
        <v>7164</v>
      </c>
      <c r="E153" s="567">
        <f>E154</f>
        <v>382.85</v>
      </c>
      <c r="F153" s="568">
        <f t="shared" si="7"/>
        <v>5.344081518704635</v>
      </c>
      <c r="G153" s="583"/>
      <c r="H153" s="584"/>
    </row>
    <row r="154" spans="1:7" s="577" customFormat="1" ht="18.75" customHeight="1">
      <c r="A154" s="571"/>
      <c r="B154" s="572"/>
      <c r="C154" s="573" t="s">
        <v>185</v>
      </c>
      <c r="D154" s="574">
        <f>SUM(D155)</f>
        <v>7164</v>
      </c>
      <c r="E154" s="574">
        <f>SUM(E155)</f>
        <v>382.85</v>
      </c>
      <c r="F154" s="575">
        <f t="shared" si="7"/>
        <v>5.344081518704635</v>
      </c>
      <c r="G154" s="576"/>
    </row>
    <row r="155" spans="1:7" s="584" customFormat="1" ht="18" customHeight="1">
      <c r="A155" s="578"/>
      <c r="B155" s="579"/>
      <c r="C155" s="580" t="s">
        <v>284</v>
      </c>
      <c r="D155" s="581">
        <f>SUM(D156)</f>
        <v>7164</v>
      </c>
      <c r="E155" s="581">
        <f>SUM(E156)</f>
        <v>382.85</v>
      </c>
      <c r="F155" s="582">
        <f t="shared" si="7"/>
        <v>5.344081518704635</v>
      </c>
      <c r="G155" s="583"/>
    </row>
    <row r="156" spans="1:7" s="776" customFormat="1" ht="18.75" customHeight="1">
      <c r="A156" s="770"/>
      <c r="B156" s="771"/>
      <c r="C156" s="772" t="s">
        <v>668</v>
      </c>
      <c r="D156" s="773">
        <v>7164</v>
      </c>
      <c r="E156" s="773">
        <v>382.85</v>
      </c>
      <c r="F156" s="774">
        <f t="shared" si="7"/>
        <v>5.344081518704635</v>
      </c>
      <c r="G156" s="775"/>
    </row>
    <row r="157" spans="1:8" s="78" customFormat="1" ht="16.5" customHeight="1" hidden="1">
      <c r="A157" s="75"/>
      <c r="B157" s="79" t="s">
        <v>411</v>
      </c>
      <c r="C157" s="24" t="s">
        <v>297</v>
      </c>
      <c r="D157" s="80">
        <f>D158</f>
        <v>0</v>
      </c>
      <c r="E157" s="25">
        <f>E158</f>
        <v>0</v>
      </c>
      <c r="F157" s="53" t="e">
        <f t="shared" si="7"/>
        <v>#DIV/0!</v>
      </c>
      <c r="G157" s="64"/>
      <c r="H157" s="65"/>
    </row>
    <row r="158" spans="1:7" s="60" customFormat="1" ht="18.75" customHeight="1" hidden="1">
      <c r="A158" s="54"/>
      <c r="B158" s="55"/>
      <c r="C158" s="56" t="s">
        <v>185</v>
      </c>
      <c r="D158" s="57">
        <f>SUM(D159,D162)</f>
        <v>0</v>
      </c>
      <c r="E158" s="57">
        <f>SUM(E159,E162)</f>
        <v>0</v>
      </c>
      <c r="F158" s="58" t="e">
        <f t="shared" si="7"/>
        <v>#DIV/0!</v>
      </c>
      <c r="G158" s="59"/>
    </row>
    <row r="159" spans="1:7" s="65" customFormat="1" ht="18" customHeight="1" hidden="1">
      <c r="A159" s="61"/>
      <c r="B159" s="62"/>
      <c r="C159" s="26" t="s">
        <v>284</v>
      </c>
      <c r="D159" s="27">
        <f>SUM(D160,D161)</f>
        <v>0</v>
      </c>
      <c r="E159" s="27">
        <f>SUM(E160,E161)</f>
        <v>0</v>
      </c>
      <c r="F159" s="63" t="e">
        <f t="shared" si="7"/>
        <v>#DIV/0!</v>
      </c>
      <c r="G159" s="64"/>
    </row>
    <row r="160" spans="1:7" s="71" customFormat="1" ht="18.75" customHeight="1" hidden="1">
      <c r="A160" s="66"/>
      <c r="B160" s="67"/>
      <c r="C160" s="68" t="s">
        <v>668</v>
      </c>
      <c r="D160" s="69">
        <v>0</v>
      </c>
      <c r="E160" s="69">
        <v>0</v>
      </c>
      <c r="F160" s="70" t="e">
        <f t="shared" si="7"/>
        <v>#DIV/0!</v>
      </c>
      <c r="G160" s="64"/>
    </row>
    <row r="161" spans="1:7" s="71" customFormat="1" ht="18.75" customHeight="1" hidden="1">
      <c r="A161" s="66"/>
      <c r="B161" s="67"/>
      <c r="C161" s="68" t="s">
        <v>285</v>
      </c>
      <c r="D161" s="69">
        <v>0</v>
      </c>
      <c r="E161" s="69">
        <v>0</v>
      </c>
      <c r="F161" s="70" t="e">
        <f t="shared" si="7"/>
        <v>#DIV/0!</v>
      </c>
      <c r="G161" s="64"/>
    </row>
    <row r="162" spans="1:7" s="65" customFormat="1" ht="18.75" customHeight="1" hidden="1">
      <c r="A162" s="74"/>
      <c r="B162" s="62"/>
      <c r="C162" s="77" t="s">
        <v>296</v>
      </c>
      <c r="D162" s="27">
        <v>0</v>
      </c>
      <c r="E162" s="27">
        <v>0</v>
      </c>
      <c r="F162" s="63" t="e">
        <f t="shared" si="7"/>
        <v>#DIV/0!</v>
      </c>
      <c r="G162" s="64"/>
    </row>
    <row r="163" spans="1:8" s="78" customFormat="1" ht="21" customHeight="1" hidden="1">
      <c r="A163" s="75"/>
      <c r="B163" s="79" t="s">
        <v>1236</v>
      </c>
      <c r="C163" s="24" t="s">
        <v>1237</v>
      </c>
      <c r="D163" s="80">
        <f>D164</f>
        <v>0</v>
      </c>
      <c r="E163" s="25">
        <f>E164</f>
        <v>0</v>
      </c>
      <c r="F163" s="53" t="e">
        <f aca="true" t="shared" si="8" ref="F163:F175">E163/D163*100</f>
        <v>#DIV/0!</v>
      </c>
      <c r="G163" s="64"/>
      <c r="H163" s="65"/>
    </row>
    <row r="164" spans="1:7" s="60" customFormat="1" ht="18.75" customHeight="1" hidden="1">
      <c r="A164" s="54"/>
      <c r="B164" s="55"/>
      <c r="C164" s="56" t="s">
        <v>185</v>
      </c>
      <c r="D164" s="57">
        <f>SUM(D165,D168)</f>
        <v>0</v>
      </c>
      <c r="E164" s="57">
        <f>SUM(E165,E168)</f>
        <v>0</v>
      </c>
      <c r="F164" s="58" t="e">
        <f t="shared" si="8"/>
        <v>#DIV/0!</v>
      </c>
      <c r="G164" s="59"/>
    </row>
    <row r="165" spans="1:7" s="65" customFormat="1" ht="18" customHeight="1" hidden="1">
      <c r="A165" s="61"/>
      <c r="B165" s="62"/>
      <c r="C165" s="26" t="s">
        <v>284</v>
      </c>
      <c r="D165" s="27">
        <f>SUM(D166,D167)</f>
        <v>0</v>
      </c>
      <c r="E165" s="27">
        <f>SUM(E166,E167)</f>
        <v>0</v>
      </c>
      <c r="F165" s="63" t="e">
        <f t="shared" si="8"/>
        <v>#DIV/0!</v>
      </c>
      <c r="G165" s="64"/>
    </row>
    <row r="166" spans="1:7" s="71" customFormat="1" ht="18.75" customHeight="1" hidden="1">
      <c r="A166" s="66"/>
      <c r="B166" s="67"/>
      <c r="C166" s="68" t="s">
        <v>668</v>
      </c>
      <c r="D166" s="69">
        <v>0</v>
      </c>
      <c r="E166" s="69">
        <v>0</v>
      </c>
      <c r="F166" s="70" t="e">
        <f t="shared" si="8"/>
        <v>#DIV/0!</v>
      </c>
      <c r="G166" s="64"/>
    </row>
    <row r="167" spans="1:7" s="71" customFormat="1" ht="18.75" customHeight="1" hidden="1">
      <c r="A167" s="66"/>
      <c r="B167" s="67"/>
      <c r="C167" s="68" t="s">
        <v>285</v>
      </c>
      <c r="D167" s="69">
        <v>0</v>
      </c>
      <c r="E167" s="69">
        <v>0</v>
      </c>
      <c r="F167" s="70" t="e">
        <f t="shared" si="8"/>
        <v>#DIV/0!</v>
      </c>
      <c r="G167" s="64"/>
    </row>
    <row r="168" spans="1:7" s="65" customFormat="1" ht="18.75" customHeight="1" hidden="1">
      <c r="A168" s="74"/>
      <c r="B168" s="62"/>
      <c r="C168" s="77" t="s">
        <v>296</v>
      </c>
      <c r="D168" s="27">
        <v>0</v>
      </c>
      <c r="E168" s="27">
        <v>0</v>
      </c>
      <c r="F168" s="63" t="e">
        <f t="shared" si="8"/>
        <v>#DIV/0!</v>
      </c>
      <c r="G168" s="64"/>
    </row>
    <row r="169" spans="1:8" s="626" customFormat="1" ht="18.75" customHeight="1" hidden="1">
      <c r="A169" s="628" t="s">
        <v>629</v>
      </c>
      <c r="B169" s="558"/>
      <c r="C169" s="559" t="s">
        <v>632</v>
      </c>
      <c r="D169" s="560">
        <f>SUM(D170)</f>
        <v>0</v>
      </c>
      <c r="E169" s="560">
        <f>SUM(E170)</f>
        <v>0</v>
      </c>
      <c r="F169" s="561" t="e">
        <f t="shared" si="8"/>
        <v>#DIV/0!</v>
      </c>
      <c r="G169" s="583"/>
      <c r="H169" s="584"/>
    </row>
    <row r="170" spans="1:8" s="626" customFormat="1" ht="18.75" customHeight="1" hidden="1">
      <c r="A170" s="615"/>
      <c r="B170" s="565" t="s">
        <v>630</v>
      </c>
      <c r="C170" s="597" t="s">
        <v>631</v>
      </c>
      <c r="D170" s="567">
        <f>SUM(D171)</f>
        <v>0</v>
      </c>
      <c r="E170" s="567">
        <f>SUM(E171)</f>
        <v>0</v>
      </c>
      <c r="F170" s="568" t="e">
        <f t="shared" si="8"/>
        <v>#DIV/0!</v>
      </c>
      <c r="G170" s="583"/>
      <c r="H170" s="584"/>
    </row>
    <row r="171" spans="1:7" s="577" customFormat="1" ht="18.75" customHeight="1" hidden="1">
      <c r="A171" s="571"/>
      <c r="B171" s="572"/>
      <c r="C171" s="573" t="s">
        <v>185</v>
      </c>
      <c r="D171" s="574">
        <f>SUM(D172,D175)</f>
        <v>0</v>
      </c>
      <c r="E171" s="574">
        <f>SUM(E172,E175)</f>
        <v>0</v>
      </c>
      <c r="F171" s="575" t="e">
        <f t="shared" si="8"/>
        <v>#DIV/0!</v>
      </c>
      <c r="G171" s="576"/>
    </row>
    <row r="172" spans="1:7" s="584" customFormat="1" ht="18" customHeight="1" hidden="1">
      <c r="A172" s="578"/>
      <c r="B172" s="579"/>
      <c r="C172" s="580" t="s">
        <v>284</v>
      </c>
      <c r="D172" s="581">
        <f>SUM(D173,D174)</f>
        <v>0</v>
      </c>
      <c r="E172" s="581">
        <f>SUM(E173,E174)</f>
        <v>0</v>
      </c>
      <c r="F172" s="582" t="e">
        <f t="shared" si="8"/>
        <v>#DIV/0!</v>
      </c>
      <c r="G172" s="583"/>
    </row>
    <row r="173" spans="1:7" s="623" customFormat="1" ht="18.75" customHeight="1" hidden="1">
      <c r="A173" s="618"/>
      <c r="B173" s="619"/>
      <c r="C173" s="620" t="s">
        <v>668</v>
      </c>
      <c r="D173" s="621">
        <v>0</v>
      </c>
      <c r="E173" s="621">
        <v>0</v>
      </c>
      <c r="F173" s="622" t="e">
        <f t="shared" si="8"/>
        <v>#DIV/0!</v>
      </c>
      <c r="G173" s="613"/>
    </row>
    <row r="174" spans="1:7" s="590" customFormat="1" ht="18.75" customHeight="1" hidden="1">
      <c r="A174" s="585"/>
      <c r="B174" s="586"/>
      <c r="C174" s="587" t="s">
        <v>285</v>
      </c>
      <c r="D174" s="588">
        <v>0</v>
      </c>
      <c r="E174" s="588">
        <v>0</v>
      </c>
      <c r="F174" s="589" t="e">
        <f t="shared" si="8"/>
        <v>#DIV/0!</v>
      </c>
      <c r="G174" s="583"/>
    </row>
    <row r="175" spans="1:7" s="614" customFormat="1" ht="18.75" customHeight="1" hidden="1">
      <c r="A175" s="632"/>
      <c r="B175" s="609"/>
      <c r="C175" s="633" t="s">
        <v>296</v>
      </c>
      <c r="D175" s="611">
        <v>0</v>
      </c>
      <c r="E175" s="611">
        <v>0</v>
      </c>
      <c r="F175" s="612" t="e">
        <f t="shared" si="8"/>
        <v>#DIV/0!</v>
      </c>
      <c r="G175" s="613"/>
    </row>
    <row r="176" spans="1:8" s="626" customFormat="1" ht="27.75" customHeight="1">
      <c r="A176" s="628" t="s">
        <v>1452</v>
      </c>
      <c r="B176" s="558"/>
      <c r="C176" s="559" t="s">
        <v>248</v>
      </c>
      <c r="D176" s="560">
        <f>SUM(D177,D186,D190,D196,D204,D208)</f>
        <v>909706</v>
      </c>
      <c r="E176" s="560">
        <f>SUM(E177,E186,E190,E196,E204,E208)</f>
        <v>204688.50999999998</v>
      </c>
      <c r="F176" s="561">
        <f t="shared" si="7"/>
        <v>22.50051225340934</v>
      </c>
      <c r="G176" s="583"/>
      <c r="H176" s="584"/>
    </row>
    <row r="177" spans="1:8" s="626" customFormat="1" ht="18.75" customHeight="1">
      <c r="A177" s="615"/>
      <c r="B177" s="565" t="s">
        <v>683</v>
      </c>
      <c r="C177" s="597" t="s">
        <v>684</v>
      </c>
      <c r="D177" s="567">
        <f>SUM(D178,D184)</f>
        <v>142908</v>
      </c>
      <c r="E177" s="567">
        <f>SUM(E178,E184)</f>
        <v>40258.89</v>
      </c>
      <c r="F177" s="568">
        <f t="shared" si="7"/>
        <v>28.171194054916448</v>
      </c>
      <c r="G177" s="583"/>
      <c r="H177" s="584"/>
    </row>
    <row r="178" spans="1:7" s="577" customFormat="1" ht="18.75" customHeight="1">
      <c r="A178" s="571"/>
      <c r="B178" s="572"/>
      <c r="C178" s="573" t="s">
        <v>185</v>
      </c>
      <c r="D178" s="574">
        <f>SUM(D179,D182,D183)</f>
        <v>142908</v>
      </c>
      <c r="E178" s="574">
        <f>SUM(E179,E182,E183)</f>
        <v>40258.89</v>
      </c>
      <c r="F178" s="575">
        <f t="shared" si="7"/>
        <v>28.171194054916448</v>
      </c>
      <c r="G178" s="576"/>
    </row>
    <row r="179" spans="1:7" s="584" customFormat="1" ht="18" customHeight="1">
      <c r="A179" s="578"/>
      <c r="B179" s="579"/>
      <c r="C179" s="580" t="s">
        <v>284</v>
      </c>
      <c r="D179" s="581">
        <f>SUM(D180,D181)</f>
        <v>117538</v>
      </c>
      <c r="E179" s="581">
        <f>SUM(E180,E181)</f>
        <v>40258.89</v>
      </c>
      <c r="F179" s="582">
        <f t="shared" si="7"/>
        <v>34.251807925947354</v>
      </c>
      <c r="G179" s="583"/>
    </row>
    <row r="180" spans="1:7" s="776" customFormat="1" ht="18.75" customHeight="1">
      <c r="A180" s="770"/>
      <c r="B180" s="771"/>
      <c r="C180" s="772" t="s">
        <v>668</v>
      </c>
      <c r="D180" s="773">
        <v>51228</v>
      </c>
      <c r="E180" s="773">
        <v>21211.45</v>
      </c>
      <c r="F180" s="774">
        <f t="shared" si="7"/>
        <v>41.40596939173889</v>
      </c>
      <c r="G180" s="775"/>
    </row>
    <row r="181" spans="1:7" s="590" customFormat="1" ht="18.75" customHeight="1">
      <c r="A181" s="585"/>
      <c r="B181" s="586"/>
      <c r="C181" s="587" t="s">
        <v>285</v>
      </c>
      <c r="D181" s="588">
        <v>66310</v>
      </c>
      <c r="E181" s="588">
        <v>19047.44</v>
      </c>
      <c r="F181" s="589">
        <f t="shared" si="7"/>
        <v>28.724837882672293</v>
      </c>
      <c r="G181" s="583"/>
    </row>
    <row r="182" spans="1:7" s="584" customFormat="1" ht="18.75" customHeight="1">
      <c r="A182" s="617"/>
      <c r="B182" s="579"/>
      <c r="C182" s="625" t="s">
        <v>296</v>
      </c>
      <c r="D182" s="581">
        <v>25370</v>
      </c>
      <c r="E182" s="581">
        <v>0</v>
      </c>
      <c r="F182" s="582">
        <f aca="true" t="shared" si="9" ref="F182:F232">E182/D182*100</f>
        <v>0</v>
      </c>
      <c r="G182" s="583"/>
    </row>
    <row r="183" spans="1:7" s="65" customFormat="1" ht="18.75" customHeight="1" hidden="1">
      <c r="A183" s="61"/>
      <c r="B183" s="62"/>
      <c r="C183" s="26" t="s">
        <v>304</v>
      </c>
      <c r="D183" s="27">
        <v>0</v>
      </c>
      <c r="E183" s="27">
        <v>0</v>
      </c>
      <c r="F183" s="63" t="e">
        <f>E183/D183*100</f>
        <v>#DIV/0!</v>
      </c>
      <c r="G183" s="72"/>
    </row>
    <row r="184" spans="1:7" s="60" customFormat="1" ht="18.75" customHeight="1" hidden="1">
      <c r="A184" s="54"/>
      <c r="B184" s="55"/>
      <c r="C184" s="56" t="s">
        <v>287</v>
      </c>
      <c r="D184" s="57">
        <f>SUM(D185)</f>
        <v>0</v>
      </c>
      <c r="E184" s="57">
        <f>SUM(E185)</f>
        <v>0</v>
      </c>
      <c r="F184" s="58" t="e">
        <f t="shared" si="9"/>
        <v>#DIV/0!</v>
      </c>
      <c r="G184" s="59"/>
    </row>
    <row r="185" spans="1:7" s="65" customFormat="1" ht="18" customHeight="1" hidden="1">
      <c r="A185" s="61"/>
      <c r="B185" s="62"/>
      <c r="C185" s="26" t="s">
        <v>304</v>
      </c>
      <c r="D185" s="27">
        <v>0</v>
      </c>
      <c r="E185" s="27">
        <v>0</v>
      </c>
      <c r="F185" s="63" t="e">
        <f t="shared" si="9"/>
        <v>#DIV/0!</v>
      </c>
      <c r="G185" s="64"/>
    </row>
    <row r="186" spans="1:8" s="626" customFormat="1" ht="18.75" customHeight="1" hidden="1">
      <c r="A186" s="615"/>
      <c r="B186" s="565" t="s">
        <v>1454</v>
      </c>
      <c r="C186" s="624" t="s">
        <v>1455</v>
      </c>
      <c r="D186" s="567">
        <f>SUM(D189)</f>
        <v>0</v>
      </c>
      <c r="E186" s="567">
        <f>SUM(E189)</f>
        <v>0</v>
      </c>
      <c r="F186" s="568" t="e">
        <f t="shared" si="9"/>
        <v>#DIV/0!</v>
      </c>
      <c r="G186" s="583"/>
      <c r="H186" s="584"/>
    </row>
    <row r="187" spans="1:7" s="577" customFormat="1" ht="18.75" customHeight="1" hidden="1">
      <c r="A187" s="571"/>
      <c r="B187" s="572"/>
      <c r="C187" s="573" t="s">
        <v>185</v>
      </c>
      <c r="D187" s="574">
        <f>SUM(D188)</f>
        <v>0</v>
      </c>
      <c r="E187" s="574">
        <f>SUM(E188)</f>
        <v>0</v>
      </c>
      <c r="F187" s="575" t="e">
        <f t="shared" si="9"/>
        <v>#DIV/0!</v>
      </c>
      <c r="G187" s="576"/>
    </row>
    <row r="188" spans="1:7" s="584" customFormat="1" ht="18" customHeight="1" hidden="1">
      <c r="A188" s="578"/>
      <c r="B188" s="579"/>
      <c r="C188" s="580" t="s">
        <v>284</v>
      </c>
      <c r="D188" s="581">
        <f>SUM(D189)</f>
        <v>0</v>
      </c>
      <c r="E188" s="581">
        <f>SUM(E189)</f>
        <v>0</v>
      </c>
      <c r="F188" s="582" t="e">
        <f t="shared" si="9"/>
        <v>#DIV/0!</v>
      </c>
      <c r="G188" s="583"/>
    </row>
    <row r="189" spans="1:7" s="590" customFormat="1" ht="18.75" customHeight="1" hidden="1">
      <c r="A189" s="585"/>
      <c r="B189" s="586"/>
      <c r="C189" s="587" t="s">
        <v>285</v>
      </c>
      <c r="D189" s="588">
        <v>0</v>
      </c>
      <c r="E189" s="588">
        <v>0</v>
      </c>
      <c r="F189" s="589" t="e">
        <f t="shared" si="9"/>
        <v>#DIV/0!</v>
      </c>
      <c r="G189" s="583"/>
    </row>
    <row r="190" spans="1:7" s="584" customFormat="1" ht="18.75" customHeight="1">
      <c r="A190" s="615"/>
      <c r="B190" s="565" t="s">
        <v>633</v>
      </c>
      <c r="C190" s="624" t="s">
        <v>634</v>
      </c>
      <c r="D190" s="567">
        <f>SUM(D191)</f>
        <v>19000</v>
      </c>
      <c r="E190" s="567">
        <f>SUM(E191)</f>
        <v>0</v>
      </c>
      <c r="F190" s="568">
        <f aca="true" t="shared" si="10" ref="F190:F195">E190/D190*100</f>
        <v>0</v>
      </c>
      <c r="G190" s="583"/>
    </row>
    <row r="191" spans="1:7" s="577" customFormat="1" ht="18.75" customHeight="1">
      <c r="A191" s="571"/>
      <c r="B191" s="572"/>
      <c r="C191" s="573" t="s">
        <v>185</v>
      </c>
      <c r="D191" s="574">
        <f>SUM(D192,D195)</f>
        <v>19000</v>
      </c>
      <c r="E191" s="574">
        <f>SUM(E192,E195)</f>
        <v>0</v>
      </c>
      <c r="F191" s="575">
        <f t="shared" si="10"/>
        <v>0</v>
      </c>
      <c r="G191" s="576"/>
    </row>
    <row r="192" spans="1:7" s="584" customFormat="1" ht="18" customHeight="1" hidden="1">
      <c r="A192" s="578"/>
      <c r="B192" s="579"/>
      <c r="C192" s="580" t="s">
        <v>284</v>
      </c>
      <c r="D192" s="581">
        <f>SUM(D193,D194)</f>
        <v>0</v>
      </c>
      <c r="E192" s="581">
        <f>SUM(E193,E194)</f>
        <v>0</v>
      </c>
      <c r="F192" s="582" t="e">
        <f t="shared" si="10"/>
        <v>#DIV/0!</v>
      </c>
      <c r="G192" s="583"/>
    </row>
    <row r="193" spans="1:7" s="590" customFormat="1" ht="18.75" customHeight="1" hidden="1">
      <c r="A193" s="585"/>
      <c r="B193" s="586"/>
      <c r="C193" s="587" t="s">
        <v>668</v>
      </c>
      <c r="D193" s="588">
        <v>0</v>
      </c>
      <c r="E193" s="588">
        <v>0</v>
      </c>
      <c r="F193" s="589" t="e">
        <f t="shared" si="10"/>
        <v>#DIV/0!</v>
      </c>
      <c r="G193" s="583"/>
    </row>
    <row r="194" spans="1:7" s="590" customFormat="1" ht="18.75" customHeight="1" hidden="1">
      <c r="A194" s="585"/>
      <c r="B194" s="586"/>
      <c r="C194" s="587" t="s">
        <v>285</v>
      </c>
      <c r="D194" s="588">
        <v>0</v>
      </c>
      <c r="E194" s="588">
        <v>0</v>
      </c>
      <c r="F194" s="589" t="e">
        <f t="shared" si="10"/>
        <v>#DIV/0!</v>
      </c>
      <c r="G194" s="583"/>
    </row>
    <row r="195" spans="1:7" s="764" customFormat="1" ht="18.75" customHeight="1">
      <c r="A195" s="758"/>
      <c r="B195" s="759"/>
      <c r="C195" s="760" t="s">
        <v>286</v>
      </c>
      <c r="D195" s="761">
        <v>19000</v>
      </c>
      <c r="E195" s="761">
        <v>0</v>
      </c>
      <c r="F195" s="762">
        <f t="shared" si="10"/>
        <v>0</v>
      </c>
      <c r="G195" s="763"/>
    </row>
    <row r="196" spans="1:7" s="584" customFormat="1" ht="18.75" customHeight="1">
      <c r="A196" s="615"/>
      <c r="B196" s="565" t="s">
        <v>234</v>
      </c>
      <c r="C196" s="624" t="s">
        <v>84</v>
      </c>
      <c r="D196" s="567">
        <f>SUM(D197,D202)</f>
        <v>497548</v>
      </c>
      <c r="E196" s="567">
        <f>SUM(E197,E202)</f>
        <v>95456.23</v>
      </c>
      <c r="F196" s="568">
        <f t="shared" si="9"/>
        <v>19.185330862549943</v>
      </c>
      <c r="G196" s="583"/>
    </row>
    <row r="197" spans="1:7" s="577" customFormat="1" ht="18.75" customHeight="1">
      <c r="A197" s="571"/>
      <c r="B197" s="572"/>
      <c r="C197" s="573" t="s">
        <v>185</v>
      </c>
      <c r="D197" s="574">
        <f>SUM(D198,D201)</f>
        <v>367548</v>
      </c>
      <c r="E197" s="574">
        <f>SUM(E198,E201)</f>
        <v>95456.23</v>
      </c>
      <c r="F197" s="575">
        <f t="shared" si="9"/>
        <v>25.971092211085356</v>
      </c>
      <c r="G197" s="576"/>
    </row>
    <row r="198" spans="1:7" s="584" customFormat="1" ht="18" customHeight="1">
      <c r="A198" s="578"/>
      <c r="B198" s="579"/>
      <c r="C198" s="580" t="s">
        <v>284</v>
      </c>
      <c r="D198" s="581">
        <f>SUM(D199,D200)</f>
        <v>360248</v>
      </c>
      <c r="E198" s="581">
        <f>SUM(E199,E200)</f>
        <v>95456.23</v>
      </c>
      <c r="F198" s="582">
        <f t="shared" si="9"/>
        <v>26.49736570362639</v>
      </c>
      <c r="G198" s="583"/>
    </row>
    <row r="199" spans="1:7" s="776" customFormat="1" ht="18.75" customHeight="1">
      <c r="A199" s="770"/>
      <c r="B199" s="771"/>
      <c r="C199" s="772" t="s">
        <v>668</v>
      </c>
      <c r="D199" s="773">
        <v>330048</v>
      </c>
      <c r="E199" s="773">
        <v>82059.4</v>
      </c>
      <c r="F199" s="774">
        <f t="shared" si="9"/>
        <v>24.86286843125848</v>
      </c>
      <c r="G199" s="775"/>
    </row>
    <row r="200" spans="1:7" s="590" customFormat="1" ht="18.75" customHeight="1">
      <c r="A200" s="585"/>
      <c r="B200" s="586"/>
      <c r="C200" s="587" t="s">
        <v>285</v>
      </c>
      <c r="D200" s="588">
        <v>30200</v>
      </c>
      <c r="E200" s="588">
        <v>13396.83</v>
      </c>
      <c r="F200" s="589">
        <f t="shared" si="9"/>
        <v>44.3603642384106</v>
      </c>
      <c r="G200" s="583"/>
    </row>
    <row r="201" spans="1:7" s="584" customFormat="1" ht="18.75" customHeight="1">
      <c r="A201" s="617"/>
      <c r="B201" s="579"/>
      <c r="C201" s="625" t="s">
        <v>296</v>
      </c>
      <c r="D201" s="581">
        <v>7300</v>
      </c>
      <c r="E201" s="581">
        <v>0</v>
      </c>
      <c r="F201" s="582">
        <f t="shared" si="9"/>
        <v>0</v>
      </c>
      <c r="G201" s="583"/>
    </row>
    <row r="202" spans="1:7" s="584" customFormat="1" ht="18.75" customHeight="1">
      <c r="A202" s="617"/>
      <c r="B202" s="579"/>
      <c r="C202" s="573" t="s">
        <v>287</v>
      </c>
      <c r="D202" s="581">
        <f>SUM(D203)</f>
        <v>130000</v>
      </c>
      <c r="E202" s="581">
        <f>SUM(E203)</f>
        <v>0</v>
      </c>
      <c r="F202" s="582">
        <f t="shared" si="9"/>
        <v>0</v>
      </c>
      <c r="G202" s="583"/>
    </row>
    <row r="203" spans="1:7" s="584" customFormat="1" ht="24" customHeight="1">
      <c r="A203" s="617"/>
      <c r="B203" s="579"/>
      <c r="C203" s="580" t="s">
        <v>1367</v>
      </c>
      <c r="D203" s="581">
        <v>130000</v>
      </c>
      <c r="E203" s="581">
        <v>0</v>
      </c>
      <c r="F203" s="582">
        <f t="shared" si="9"/>
        <v>0</v>
      </c>
      <c r="G203" s="583"/>
    </row>
    <row r="204" spans="1:7" s="645" customFormat="1" ht="18.75" customHeight="1">
      <c r="A204" s="639"/>
      <c r="B204" s="640" t="s">
        <v>802</v>
      </c>
      <c r="C204" s="641" t="s">
        <v>803</v>
      </c>
      <c r="D204" s="642">
        <f aca="true" t="shared" si="11" ref="D204:E206">SUM(D205)</f>
        <v>14800</v>
      </c>
      <c r="E204" s="642">
        <f t="shared" si="11"/>
        <v>747.74</v>
      </c>
      <c r="F204" s="643">
        <f>E204/D204*100</f>
        <v>5.052297297297297</v>
      </c>
      <c r="G204" s="644"/>
    </row>
    <row r="205" spans="1:7" s="652" customFormat="1" ht="18.75" customHeight="1">
      <c r="A205" s="646"/>
      <c r="B205" s="647"/>
      <c r="C205" s="648" t="s">
        <v>185</v>
      </c>
      <c r="D205" s="649">
        <f t="shared" si="11"/>
        <v>14800</v>
      </c>
      <c r="E205" s="649">
        <f t="shared" si="11"/>
        <v>747.74</v>
      </c>
      <c r="F205" s="650">
        <f>E205/D205*100</f>
        <v>5.052297297297297</v>
      </c>
      <c r="G205" s="651"/>
    </row>
    <row r="206" spans="1:7" s="638" customFormat="1" ht="18" customHeight="1">
      <c r="A206" s="653"/>
      <c r="B206" s="634"/>
      <c r="C206" s="635" t="s">
        <v>284</v>
      </c>
      <c r="D206" s="636">
        <f t="shared" si="11"/>
        <v>14800</v>
      </c>
      <c r="E206" s="636">
        <f t="shared" si="11"/>
        <v>747.74</v>
      </c>
      <c r="F206" s="637">
        <f>E206/D206*100</f>
        <v>5.052297297297297</v>
      </c>
      <c r="G206" s="654"/>
    </row>
    <row r="207" spans="1:7" s="660" customFormat="1" ht="18.75" customHeight="1">
      <c r="A207" s="655"/>
      <c r="B207" s="656"/>
      <c r="C207" s="657" t="s">
        <v>285</v>
      </c>
      <c r="D207" s="658">
        <v>14800</v>
      </c>
      <c r="E207" s="658">
        <v>747.74</v>
      </c>
      <c r="F207" s="659">
        <f>E207/D207*100</f>
        <v>5.052297297297297</v>
      </c>
      <c r="G207" s="654"/>
    </row>
    <row r="208" spans="1:8" s="626" customFormat="1" ht="17.25" customHeight="1">
      <c r="A208" s="615"/>
      <c r="B208" s="565" t="s">
        <v>685</v>
      </c>
      <c r="C208" s="624" t="s">
        <v>1358</v>
      </c>
      <c r="D208" s="567">
        <f aca="true" t="shared" si="12" ref="D208:E210">SUM(D209)</f>
        <v>235450</v>
      </c>
      <c r="E208" s="567">
        <f t="shared" si="12"/>
        <v>68225.65</v>
      </c>
      <c r="F208" s="568">
        <f t="shared" si="9"/>
        <v>28.97670418347844</v>
      </c>
      <c r="G208" s="583"/>
      <c r="H208" s="584"/>
    </row>
    <row r="209" spans="1:7" s="577" customFormat="1" ht="18.75" customHeight="1">
      <c r="A209" s="571"/>
      <c r="B209" s="572"/>
      <c r="C209" s="573" t="s">
        <v>185</v>
      </c>
      <c r="D209" s="574">
        <f t="shared" si="12"/>
        <v>235450</v>
      </c>
      <c r="E209" s="574">
        <f t="shared" si="12"/>
        <v>68225.65</v>
      </c>
      <c r="F209" s="575">
        <f t="shared" si="9"/>
        <v>28.97670418347844</v>
      </c>
      <c r="G209" s="576"/>
    </row>
    <row r="210" spans="1:7" s="584" customFormat="1" ht="18" customHeight="1">
      <c r="A210" s="578"/>
      <c r="B210" s="579"/>
      <c r="C210" s="580" t="s">
        <v>284</v>
      </c>
      <c r="D210" s="581">
        <f t="shared" si="12"/>
        <v>235450</v>
      </c>
      <c r="E210" s="581">
        <f t="shared" si="12"/>
        <v>68225.65</v>
      </c>
      <c r="F210" s="582">
        <f t="shared" si="9"/>
        <v>28.97670418347844</v>
      </c>
      <c r="G210" s="583"/>
    </row>
    <row r="211" spans="1:7" s="590" customFormat="1" ht="18.75" customHeight="1">
      <c r="A211" s="585"/>
      <c r="B211" s="586"/>
      <c r="C211" s="587" t="s">
        <v>285</v>
      </c>
      <c r="D211" s="588">
        <v>235450</v>
      </c>
      <c r="E211" s="588">
        <v>68225.65</v>
      </c>
      <c r="F211" s="589">
        <f t="shared" si="9"/>
        <v>28.97670418347844</v>
      </c>
      <c r="G211" s="583"/>
    </row>
    <row r="212" spans="1:7" s="38" customFormat="1" ht="65.25" customHeight="1" hidden="1">
      <c r="A212" s="76" t="s">
        <v>201</v>
      </c>
      <c r="B212" s="47"/>
      <c r="C212" s="48" t="s">
        <v>692</v>
      </c>
      <c r="D212" s="49">
        <f aca="true" t="shared" si="13" ref="D212:E214">SUM(D213)</f>
        <v>0</v>
      </c>
      <c r="E212" s="49">
        <f t="shared" si="13"/>
        <v>0</v>
      </c>
      <c r="F212" s="50" t="e">
        <f t="shared" si="9"/>
        <v>#DIV/0!</v>
      </c>
      <c r="G212" s="51"/>
    </row>
    <row r="213" spans="1:7" s="65" customFormat="1" ht="27.75" customHeight="1" hidden="1">
      <c r="A213" s="75"/>
      <c r="B213" s="52" t="s">
        <v>696</v>
      </c>
      <c r="C213" s="24" t="s">
        <v>697</v>
      </c>
      <c r="D213" s="25">
        <f t="shared" si="13"/>
        <v>0</v>
      </c>
      <c r="E213" s="25">
        <f t="shared" si="13"/>
        <v>0</v>
      </c>
      <c r="F213" s="53" t="e">
        <f t="shared" si="9"/>
        <v>#DIV/0!</v>
      </c>
      <c r="G213" s="64"/>
    </row>
    <row r="214" spans="1:7" s="60" customFormat="1" ht="18.75" customHeight="1" hidden="1">
      <c r="A214" s="54"/>
      <c r="B214" s="55"/>
      <c r="C214" s="56" t="s">
        <v>185</v>
      </c>
      <c r="D214" s="57">
        <f t="shared" si="13"/>
        <v>0</v>
      </c>
      <c r="E214" s="57">
        <f t="shared" si="13"/>
        <v>0</v>
      </c>
      <c r="F214" s="58" t="e">
        <f t="shared" si="9"/>
        <v>#DIV/0!</v>
      </c>
      <c r="G214" s="59"/>
    </row>
    <row r="215" spans="1:7" s="65" customFormat="1" ht="18" customHeight="1" hidden="1">
      <c r="A215" s="61"/>
      <c r="B215" s="62"/>
      <c r="C215" s="26" t="s">
        <v>284</v>
      </c>
      <c r="D215" s="27">
        <f>SUM(D216,D217)</f>
        <v>0</v>
      </c>
      <c r="E215" s="27">
        <f>SUM(E216,E217)</f>
        <v>0</v>
      </c>
      <c r="F215" s="63" t="e">
        <f t="shared" si="9"/>
        <v>#DIV/0!</v>
      </c>
      <c r="G215" s="64"/>
    </row>
    <row r="216" spans="1:7" s="71" customFormat="1" ht="18.75" customHeight="1" hidden="1">
      <c r="A216" s="66"/>
      <c r="B216" s="67"/>
      <c r="C216" s="68" t="s">
        <v>668</v>
      </c>
      <c r="D216" s="69">
        <v>0</v>
      </c>
      <c r="E216" s="69">
        <v>0</v>
      </c>
      <c r="F216" s="70" t="e">
        <f t="shared" si="9"/>
        <v>#DIV/0!</v>
      </c>
      <c r="G216" s="64"/>
    </row>
    <row r="217" spans="1:7" s="71" customFormat="1" ht="18.75" customHeight="1" hidden="1">
      <c r="A217" s="66"/>
      <c r="B217" s="67"/>
      <c r="C217" s="68" t="s">
        <v>285</v>
      </c>
      <c r="D217" s="69">
        <v>0</v>
      </c>
      <c r="E217" s="69">
        <v>0</v>
      </c>
      <c r="F217" s="70" t="e">
        <f t="shared" si="9"/>
        <v>#DIV/0!</v>
      </c>
      <c r="G217" s="64"/>
    </row>
    <row r="218" spans="1:8" s="626" customFormat="1" ht="18.75" customHeight="1">
      <c r="A218" s="616" t="s">
        <v>1456</v>
      </c>
      <c r="B218" s="558"/>
      <c r="C218" s="599" t="s">
        <v>699</v>
      </c>
      <c r="D218" s="560">
        <f>D219+D222</f>
        <v>12796031</v>
      </c>
      <c r="E218" s="560">
        <f>E219+E222</f>
        <v>3335875.54</v>
      </c>
      <c r="F218" s="561">
        <f t="shared" si="9"/>
        <v>26.069611272432837</v>
      </c>
      <c r="G218" s="583"/>
      <c r="H218" s="584"/>
    </row>
    <row r="219" spans="1:8" s="626" customFormat="1" ht="29.25" customHeight="1">
      <c r="A219" s="615"/>
      <c r="B219" s="565" t="s">
        <v>700</v>
      </c>
      <c r="C219" s="566" t="s">
        <v>705</v>
      </c>
      <c r="D219" s="567">
        <f>D220</f>
        <v>6822400</v>
      </c>
      <c r="E219" s="567">
        <f>E220</f>
        <v>2875357.5</v>
      </c>
      <c r="F219" s="568">
        <f t="shared" si="9"/>
        <v>42.145835776266416</v>
      </c>
      <c r="G219" s="583"/>
      <c r="H219" s="584"/>
    </row>
    <row r="220" spans="1:7" s="577" customFormat="1" ht="18.75" customHeight="1">
      <c r="A220" s="571"/>
      <c r="B220" s="572"/>
      <c r="C220" s="573" t="s">
        <v>185</v>
      </c>
      <c r="D220" s="574">
        <f>SUM(D221)</f>
        <v>6822400</v>
      </c>
      <c r="E220" s="574">
        <f>SUM(E221)</f>
        <v>2875357.5</v>
      </c>
      <c r="F220" s="575">
        <f t="shared" si="9"/>
        <v>42.145835776266416</v>
      </c>
      <c r="G220" s="576"/>
    </row>
    <row r="221" spans="1:7" s="584" customFormat="1" ht="18" customHeight="1">
      <c r="A221" s="578"/>
      <c r="B221" s="579"/>
      <c r="C221" s="580" t="s">
        <v>298</v>
      </c>
      <c r="D221" s="581">
        <v>6822400</v>
      </c>
      <c r="E221" s="581">
        <v>2875357.5</v>
      </c>
      <c r="F221" s="582">
        <f t="shared" si="9"/>
        <v>42.145835776266416</v>
      </c>
      <c r="G221" s="583"/>
    </row>
    <row r="222" spans="1:7" s="65" customFormat="1" ht="40.5" customHeight="1">
      <c r="A222" s="61"/>
      <c r="B222" s="1467" t="s">
        <v>952</v>
      </c>
      <c r="C222" s="566" t="s">
        <v>953</v>
      </c>
      <c r="D222" s="27">
        <f>D223</f>
        <v>5973631</v>
      </c>
      <c r="E222" s="27">
        <f>E223</f>
        <v>460518.04</v>
      </c>
      <c r="F222" s="63">
        <f>E222/D222*100</f>
        <v>7.709181233323585</v>
      </c>
      <c r="G222" s="64"/>
    </row>
    <row r="223" spans="1:7" s="65" customFormat="1" ht="18" customHeight="1">
      <c r="A223" s="61"/>
      <c r="B223" s="62"/>
      <c r="C223" s="573" t="s">
        <v>185</v>
      </c>
      <c r="D223" s="27">
        <f>SUM(D224)</f>
        <v>5973631</v>
      </c>
      <c r="E223" s="27">
        <f>SUM(E224)</f>
        <v>460518.04</v>
      </c>
      <c r="F223" s="70">
        <f>E223/D223*100</f>
        <v>7.709181233323585</v>
      </c>
      <c r="G223" s="64"/>
    </row>
    <row r="224" spans="1:7" s="71" customFormat="1" ht="18.75" customHeight="1">
      <c r="A224" s="66"/>
      <c r="B224" s="67"/>
      <c r="C224" s="580" t="s">
        <v>298</v>
      </c>
      <c r="D224" s="69">
        <v>5973631</v>
      </c>
      <c r="E224" s="69">
        <v>460518.04</v>
      </c>
      <c r="F224" s="70">
        <f>E224/D224*100</f>
        <v>7.709181233323585</v>
      </c>
      <c r="G224" s="64"/>
    </row>
    <row r="225" spans="1:7" s="563" customFormat="1" ht="18.75" customHeight="1">
      <c r="A225" s="616" t="s">
        <v>1457</v>
      </c>
      <c r="B225" s="558"/>
      <c r="C225" s="559" t="s">
        <v>1458</v>
      </c>
      <c r="D225" s="560">
        <f>SUM(D226,D229)</f>
        <v>1037085</v>
      </c>
      <c r="E225" s="560">
        <f>SUM(E226,E229)</f>
        <v>0</v>
      </c>
      <c r="F225" s="561">
        <f t="shared" si="9"/>
        <v>0</v>
      </c>
      <c r="G225" s="562"/>
    </row>
    <row r="226" spans="1:7" s="645" customFormat="1" ht="18.75" customHeight="1" hidden="1">
      <c r="A226" s="639"/>
      <c r="B226" s="640" t="s">
        <v>152</v>
      </c>
      <c r="C226" s="661" t="s">
        <v>153</v>
      </c>
      <c r="D226" s="642">
        <f>SUM(D227)</f>
        <v>0</v>
      </c>
      <c r="E226" s="642">
        <f>SUM(E227)</f>
        <v>0</v>
      </c>
      <c r="F226" s="663" t="e">
        <f>E226/D226*100</f>
        <v>#DIV/0!</v>
      </c>
      <c r="G226" s="662"/>
    </row>
    <row r="227" spans="1:7" s="607" customFormat="1" ht="18.75" customHeight="1" hidden="1">
      <c r="A227" s="601"/>
      <c r="B227" s="602"/>
      <c r="C227" s="603" t="s">
        <v>185</v>
      </c>
      <c r="D227" s="604">
        <f>SUM(D228)</f>
        <v>0</v>
      </c>
      <c r="E227" s="604">
        <f>SUM(E228)</f>
        <v>0</v>
      </c>
      <c r="F227" s="605" t="e">
        <f>E227/D227*100</f>
        <v>#DIV/0!</v>
      </c>
      <c r="G227" s="606"/>
    </row>
    <row r="228" spans="1:7" s="764" customFormat="1" ht="18.75" customHeight="1" hidden="1">
      <c r="A228" s="758"/>
      <c r="B228" s="759"/>
      <c r="C228" s="760" t="s">
        <v>286</v>
      </c>
      <c r="D228" s="761">
        <v>0</v>
      </c>
      <c r="E228" s="761">
        <v>0</v>
      </c>
      <c r="F228" s="762" t="e">
        <f>E228/D228*100</f>
        <v>#DIV/0!</v>
      </c>
      <c r="G228" s="763"/>
    </row>
    <row r="229" spans="1:7" s="570" customFormat="1" ht="18.75" customHeight="1">
      <c r="A229" s="615"/>
      <c r="B229" s="565" t="s">
        <v>1338</v>
      </c>
      <c r="C229" s="566" t="s">
        <v>1339</v>
      </c>
      <c r="D229" s="567">
        <f aca="true" t="shared" si="14" ref="D229:E231">SUM(D230)</f>
        <v>1037085</v>
      </c>
      <c r="E229" s="567">
        <f t="shared" si="14"/>
        <v>0</v>
      </c>
      <c r="F229" s="568">
        <f t="shared" si="9"/>
        <v>0</v>
      </c>
      <c r="G229" s="562"/>
    </row>
    <row r="230" spans="1:7" s="577" customFormat="1" ht="18.75" customHeight="1">
      <c r="A230" s="571"/>
      <c r="B230" s="572"/>
      <c r="C230" s="573" t="s">
        <v>185</v>
      </c>
      <c r="D230" s="574">
        <f t="shared" si="14"/>
        <v>1037085</v>
      </c>
      <c r="E230" s="574">
        <f t="shared" si="14"/>
        <v>0</v>
      </c>
      <c r="F230" s="575">
        <f t="shared" si="9"/>
        <v>0</v>
      </c>
      <c r="G230" s="576"/>
    </row>
    <row r="231" spans="1:7" s="584" customFormat="1" ht="18" customHeight="1">
      <c r="A231" s="578"/>
      <c r="B231" s="579"/>
      <c r="C231" s="580" t="s">
        <v>284</v>
      </c>
      <c r="D231" s="581">
        <f t="shared" si="14"/>
        <v>1037085</v>
      </c>
      <c r="E231" s="581">
        <f t="shared" si="14"/>
        <v>0</v>
      </c>
      <c r="F231" s="582">
        <f t="shared" si="9"/>
        <v>0</v>
      </c>
      <c r="G231" s="583"/>
    </row>
    <row r="232" spans="1:7" s="590" customFormat="1" ht="18.75" customHeight="1">
      <c r="A232" s="585"/>
      <c r="B232" s="586"/>
      <c r="C232" s="587" t="s">
        <v>285</v>
      </c>
      <c r="D232" s="588">
        <v>1037085</v>
      </c>
      <c r="E232" s="588">
        <v>0</v>
      </c>
      <c r="F232" s="589">
        <f t="shared" si="9"/>
        <v>0</v>
      </c>
      <c r="G232" s="583"/>
    </row>
    <row r="233" spans="1:7" s="570" customFormat="1" ht="18.75" customHeight="1">
      <c r="A233" s="616" t="s">
        <v>1459</v>
      </c>
      <c r="B233" s="558"/>
      <c r="C233" s="599" t="s">
        <v>1460</v>
      </c>
      <c r="D233" s="560">
        <f>SUM(D234,D244,D250,D259,D265,D274,D278,D282,D288)</f>
        <v>37282874</v>
      </c>
      <c r="E233" s="560">
        <f>SUM(E234,E244,E250,E259,E265,E274,E278,E282,E288)</f>
        <v>18409789.060000002</v>
      </c>
      <c r="F233" s="561">
        <f aca="true" t="shared" si="15" ref="F233:F271">E233/D233*100</f>
        <v>49.378674669769296</v>
      </c>
      <c r="G233" s="562"/>
    </row>
    <row r="234" spans="1:7" s="584" customFormat="1" ht="18.75" customHeight="1">
      <c r="A234" s="615"/>
      <c r="B234" s="565" t="s">
        <v>1461</v>
      </c>
      <c r="C234" s="597" t="s">
        <v>1462</v>
      </c>
      <c r="D234" s="567">
        <f>SUM(D235,D241)</f>
        <v>15583520</v>
      </c>
      <c r="E234" s="567">
        <f>SUM(E235,E241)</f>
        <v>7388885.1899999995</v>
      </c>
      <c r="F234" s="568">
        <f t="shared" si="15"/>
        <v>47.41473806944772</v>
      </c>
      <c r="G234" s="583"/>
    </row>
    <row r="235" spans="1:7" s="577" customFormat="1" ht="18.75" customHeight="1">
      <c r="A235" s="571"/>
      <c r="B235" s="572"/>
      <c r="C235" s="573" t="s">
        <v>185</v>
      </c>
      <c r="D235" s="574">
        <f>SUM(D236,D239,D240)</f>
        <v>13623520</v>
      </c>
      <c r="E235" s="574">
        <f>SUM(E236,E239,E240)</f>
        <v>7383151.85</v>
      </c>
      <c r="F235" s="575">
        <f t="shared" si="15"/>
        <v>54.19415723689619</v>
      </c>
      <c r="G235" s="576"/>
    </row>
    <row r="236" spans="1:7" s="584" customFormat="1" ht="18" customHeight="1">
      <c r="A236" s="578"/>
      <c r="B236" s="579"/>
      <c r="C236" s="580" t="s">
        <v>284</v>
      </c>
      <c r="D236" s="581">
        <f>SUM(D237,D238)</f>
        <v>13227692</v>
      </c>
      <c r="E236" s="581">
        <f>SUM(E237,E238)</f>
        <v>7189523.59</v>
      </c>
      <c r="F236" s="582">
        <f t="shared" si="15"/>
        <v>54.352063761387846</v>
      </c>
      <c r="G236" s="583"/>
    </row>
    <row r="237" spans="1:7" s="776" customFormat="1" ht="18.75" customHeight="1">
      <c r="A237" s="770"/>
      <c r="B237" s="771"/>
      <c r="C237" s="772" t="s">
        <v>668</v>
      </c>
      <c r="D237" s="773">
        <v>10983819</v>
      </c>
      <c r="E237" s="773">
        <v>5899089.85</v>
      </c>
      <c r="F237" s="774">
        <f t="shared" si="15"/>
        <v>53.70709267878504</v>
      </c>
      <c r="G237" s="775"/>
    </row>
    <row r="238" spans="1:7" s="590" customFormat="1" ht="18.75" customHeight="1">
      <c r="A238" s="585"/>
      <c r="B238" s="586"/>
      <c r="C238" s="587" t="s">
        <v>285</v>
      </c>
      <c r="D238" s="588">
        <v>2243873</v>
      </c>
      <c r="E238" s="588">
        <v>1290433.74</v>
      </c>
      <c r="F238" s="589">
        <f t="shared" si="15"/>
        <v>57.509214648066084</v>
      </c>
      <c r="G238" s="583"/>
    </row>
    <row r="239" spans="1:7" s="584" customFormat="1" ht="18.75" customHeight="1">
      <c r="A239" s="617"/>
      <c r="B239" s="579"/>
      <c r="C239" s="625" t="s">
        <v>296</v>
      </c>
      <c r="D239" s="581">
        <v>14200</v>
      </c>
      <c r="E239" s="581">
        <v>6836.22</v>
      </c>
      <c r="F239" s="582">
        <f t="shared" si="15"/>
        <v>48.14239436619718</v>
      </c>
      <c r="G239" s="583"/>
    </row>
    <row r="240" spans="1:7" s="757" customFormat="1" ht="18.75" customHeight="1">
      <c r="A240" s="751"/>
      <c r="B240" s="752"/>
      <c r="C240" s="753" t="s">
        <v>286</v>
      </c>
      <c r="D240" s="754">
        <v>381628</v>
      </c>
      <c r="E240" s="754">
        <v>186792.04</v>
      </c>
      <c r="F240" s="755">
        <f t="shared" si="15"/>
        <v>48.94610458352113</v>
      </c>
      <c r="G240" s="756"/>
    </row>
    <row r="241" spans="1:7" s="577" customFormat="1" ht="18.75" customHeight="1">
      <c r="A241" s="571"/>
      <c r="B241" s="572"/>
      <c r="C241" s="573" t="s">
        <v>287</v>
      </c>
      <c r="D241" s="574">
        <f>SUM(D242,D243)</f>
        <v>1960000</v>
      </c>
      <c r="E241" s="574">
        <f>SUM(E242,E243)</f>
        <v>5733.34</v>
      </c>
      <c r="F241" s="575">
        <f t="shared" si="15"/>
        <v>0.2925173469387755</v>
      </c>
      <c r="G241" s="576"/>
    </row>
    <row r="242" spans="1:7" s="584" customFormat="1" ht="24.75" customHeight="1">
      <c r="A242" s="578"/>
      <c r="B242" s="579"/>
      <c r="C242" s="580" t="s">
        <v>1367</v>
      </c>
      <c r="D242" s="1468">
        <v>342000</v>
      </c>
      <c r="E242" s="1468">
        <v>0</v>
      </c>
      <c r="F242" s="582">
        <f t="shared" si="15"/>
        <v>0</v>
      </c>
      <c r="G242" s="583"/>
    </row>
    <row r="243" spans="1:7" s="65" customFormat="1" ht="18" customHeight="1">
      <c r="A243" s="74"/>
      <c r="B243" s="62"/>
      <c r="C243" s="26" t="s">
        <v>304</v>
      </c>
      <c r="D243" s="1469">
        <v>1618000</v>
      </c>
      <c r="E243" s="1469">
        <v>5733.34</v>
      </c>
      <c r="F243" s="63">
        <f t="shared" si="15"/>
        <v>0.35434734239802224</v>
      </c>
      <c r="G243" s="64"/>
    </row>
    <row r="244" spans="1:7" s="570" customFormat="1" ht="18.75" customHeight="1">
      <c r="A244" s="615"/>
      <c r="B244" s="565" t="s">
        <v>111</v>
      </c>
      <c r="C244" s="597" t="s">
        <v>112</v>
      </c>
      <c r="D244" s="567">
        <f>D245</f>
        <v>404807</v>
      </c>
      <c r="E244" s="567">
        <f>E245</f>
        <v>249782.41999999998</v>
      </c>
      <c r="F244" s="568">
        <f t="shared" si="15"/>
        <v>61.704076263503346</v>
      </c>
      <c r="G244" s="562"/>
    </row>
    <row r="245" spans="1:7" s="577" customFormat="1" ht="18.75" customHeight="1">
      <c r="A245" s="571"/>
      <c r="B245" s="572"/>
      <c r="C245" s="573" t="s">
        <v>185</v>
      </c>
      <c r="D245" s="574">
        <f>SUM(D246,D249)</f>
        <v>404807</v>
      </c>
      <c r="E245" s="574">
        <f>SUM(E246,E249)</f>
        <v>249782.41999999998</v>
      </c>
      <c r="F245" s="575">
        <f t="shared" si="15"/>
        <v>61.704076263503346</v>
      </c>
      <c r="G245" s="576"/>
    </row>
    <row r="246" spans="1:7" s="584" customFormat="1" ht="18" customHeight="1">
      <c r="A246" s="578"/>
      <c r="B246" s="579"/>
      <c r="C246" s="580" t="s">
        <v>284</v>
      </c>
      <c r="D246" s="581">
        <f>SUM(D247,D248)</f>
        <v>377673</v>
      </c>
      <c r="E246" s="581">
        <f>SUM(E247,E248)</f>
        <v>237630.06</v>
      </c>
      <c r="F246" s="582">
        <f t="shared" si="15"/>
        <v>62.919525621370866</v>
      </c>
      <c r="G246" s="583"/>
    </row>
    <row r="247" spans="1:7" s="776" customFormat="1" ht="18.75" customHeight="1">
      <c r="A247" s="770"/>
      <c r="B247" s="771"/>
      <c r="C247" s="772" t="s">
        <v>668</v>
      </c>
      <c r="D247" s="773">
        <v>360018</v>
      </c>
      <c r="E247" s="773">
        <v>225496.2</v>
      </c>
      <c r="F247" s="774">
        <f t="shared" si="15"/>
        <v>62.63470159825343</v>
      </c>
      <c r="G247" s="775"/>
    </row>
    <row r="248" spans="1:7" s="590" customFormat="1" ht="18.75" customHeight="1">
      <c r="A248" s="585"/>
      <c r="B248" s="586"/>
      <c r="C248" s="587" t="s">
        <v>285</v>
      </c>
      <c r="D248" s="588">
        <v>17655</v>
      </c>
      <c r="E248" s="588">
        <v>12133.86</v>
      </c>
      <c r="F248" s="589">
        <f t="shared" si="15"/>
        <v>68.72761257434155</v>
      </c>
      <c r="G248" s="583"/>
    </row>
    <row r="249" spans="1:7" s="757" customFormat="1" ht="18.75" customHeight="1">
      <c r="A249" s="751"/>
      <c r="B249" s="752"/>
      <c r="C249" s="753" t="s">
        <v>286</v>
      </c>
      <c r="D249" s="754">
        <v>27134</v>
      </c>
      <c r="E249" s="754">
        <v>12152.36</v>
      </c>
      <c r="F249" s="755">
        <f t="shared" si="15"/>
        <v>44.786467162968975</v>
      </c>
      <c r="G249" s="756"/>
    </row>
    <row r="250" spans="1:8" s="626" customFormat="1" ht="18.75" customHeight="1">
      <c r="A250" s="615"/>
      <c r="B250" s="565" t="s">
        <v>709</v>
      </c>
      <c r="C250" s="597" t="s">
        <v>710</v>
      </c>
      <c r="D250" s="567">
        <f>SUM(D251,D257)</f>
        <v>9401324</v>
      </c>
      <c r="E250" s="567">
        <f>SUM(E251,E257)</f>
        <v>4846281.26</v>
      </c>
      <c r="F250" s="568">
        <f t="shared" si="15"/>
        <v>51.548922896392035</v>
      </c>
      <c r="G250" s="583"/>
      <c r="H250" s="584"/>
    </row>
    <row r="251" spans="1:7" s="577" customFormat="1" ht="18.75" customHeight="1">
      <c r="A251" s="571"/>
      <c r="B251" s="572"/>
      <c r="C251" s="573" t="s">
        <v>185</v>
      </c>
      <c r="D251" s="574">
        <f>SUM(D252,D255,D256)</f>
        <v>9311324</v>
      </c>
      <c r="E251" s="574">
        <f>SUM(E252,E255,E256)</f>
        <v>4832751.26</v>
      </c>
      <c r="F251" s="575">
        <f t="shared" si="15"/>
        <v>51.90186980927739</v>
      </c>
      <c r="G251" s="576"/>
    </row>
    <row r="252" spans="1:7" s="584" customFormat="1" ht="18" customHeight="1">
      <c r="A252" s="578"/>
      <c r="B252" s="579"/>
      <c r="C252" s="580" t="s">
        <v>284</v>
      </c>
      <c r="D252" s="581">
        <f>SUM(D253,D254)</f>
        <v>8757653</v>
      </c>
      <c r="E252" s="581">
        <f>SUM(E253,E254)</f>
        <v>4624149.71</v>
      </c>
      <c r="F252" s="582">
        <f t="shared" si="15"/>
        <v>52.80124378072527</v>
      </c>
      <c r="G252" s="583"/>
    </row>
    <row r="253" spans="1:7" s="776" customFormat="1" ht="18.75" customHeight="1">
      <c r="A253" s="770"/>
      <c r="B253" s="771"/>
      <c r="C253" s="772" t="s">
        <v>668</v>
      </c>
      <c r="D253" s="773">
        <v>7484627</v>
      </c>
      <c r="E253" s="773">
        <v>3871630.18</v>
      </c>
      <c r="F253" s="774">
        <f t="shared" si="15"/>
        <v>51.72776385516607</v>
      </c>
      <c r="G253" s="775"/>
    </row>
    <row r="254" spans="1:7" s="590" customFormat="1" ht="18.75" customHeight="1">
      <c r="A254" s="585"/>
      <c r="B254" s="586"/>
      <c r="C254" s="587" t="s">
        <v>285</v>
      </c>
      <c r="D254" s="588">
        <v>1273026</v>
      </c>
      <c r="E254" s="588">
        <v>752519.53</v>
      </c>
      <c r="F254" s="589">
        <f t="shared" si="15"/>
        <v>59.11265991425155</v>
      </c>
      <c r="G254" s="583"/>
    </row>
    <row r="255" spans="1:7" s="757" customFormat="1" ht="18.75" customHeight="1">
      <c r="A255" s="751"/>
      <c r="B255" s="752"/>
      <c r="C255" s="753" t="s">
        <v>286</v>
      </c>
      <c r="D255" s="754">
        <v>537571</v>
      </c>
      <c r="E255" s="754">
        <v>205017.79</v>
      </c>
      <c r="F255" s="755">
        <f t="shared" si="15"/>
        <v>38.13780691294731</v>
      </c>
      <c r="G255" s="756"/>
    </row>
    <row r="256" spans="1:7" s="584" customFormat="1" ht="18.75" customHeight="1">
      <c r="A256" s="578"/>
      <c r="B256" s="579"/>
      <c r="C256" s="580" t="s">
        <v>296</v>
      </c>
      <c r="D256" s="581">
        <v>16100</v>
      </c>
      <c r="E256" s="581">
        <v>3583.76</v>
      </c>
      <c r="F256" s="582">
        <f>E256/D256*100</f>
        <v>22.25937888198758</v>
      </c>
      <c r="G256" s="596"/>
    </row>
    <row r="257" spans="1:7" s="60" customFormat="1" ht="18.75" customHeight="1">
      <c r="A257" s="54"/>
      <c r="B257" s="55"/>
      <c r="C257" s="56" t="s">
        <v>287</v>
      </c>
      <c r="D257" s="57">
        <f>SUM(D258)</f>
        <v>90000</v>
      </c>
      <c r="E257" s="57">
        <f>SUM(E258)</f>
        <v>13530</v>
      </c>
      <c r="F257" s="58">
        <f>E257/D257*100</f>
        <v>15.033333333333335</v>
      </c>
      <c r="G257" s="59"/>
    </row>
    <row r="258" spans="1:7" s="65" customFormat="1" ht="26.25" customHeight="1">
      <c r="A258" s="61"/>
      <c r="B258" s="62"/>
      <c r="C258" s="26" t="s">
        <v>1367</v>
      </c>
      <c r="D258" s="27">
        <v>90000</v>
      </c>
      <c r="E258" s="27">
        <v>13530</v>
      </c>
      <c r="F258" s="63">
        <f>E258/D258*100</f>
        <v>15.033333333333335</v>
      </c>
      <c r="G258" s="64"/>
    </row>
    <row r="259" spans="1:8" s="626" customFormat="1" ht="18.75" customHeight="1">
      <c r="A259" s="615"/>
      <c r="B259" s="565" t="s">
        <v>299</v>
      </c>
      <c r="C259" s="597" t="s">
        <v>300</v>
      </c>
      <c r="D259" s="567">
        <f>SUM(D260)</f>
        <v>622611</v>
      </c>
      <c r="E259" s="567">
        <f>SUM(E260)</f>
        <v>283835.13</v>
      </c>
      <c r="F259" s="568">
        <f t="shared" si="15"/>
        <v>45.58787589682803</v>
      </c>
      <c r="G259" s="583"/>
      <c r="H259" s="584"/>
    </row>
    <row r="260" spans="1:7" s="577" customFormat="1" ht="18.75" customHeight="1">
      <c r="A260" s="571"/>
      <c r="B260" s="572"/>
      <c r="C260" s="573" t="s">
        <v>185</v>
      </c>
      <c r="D260" s="574">
        <f>SUM(D261,D264)</f>
        <v>622611</v>
      </c>
      <c r="E260" s="574">
        <f>SUM(E261,E264)</f>
        <v>283835.13</v>
      </c>
      <c r="F260" s="575">
        <f t="shared" si="15"/>
        <v>45.58787589682803</v>
      </c>
      <c r="G260" s="576"/>
    </row>
    <row r="261" spans="1:7" s="584" customFormat="1" ht="18" customHeight="1">
      <c r="A261" s="578"/>
      <c r="B261" s="579"/>
      <c r="C261" s="580" t="s">
        <v>284</v>
      </c>
      <c r="D261" s="581">
        <f>SUM(D262,D263)</f>
        <v>229236</v>
      </c>
      <c r="E261" s="581">
        <f>SUM(E262,E263)</f>
        <v>93107.79</v>
      </c>
      <c r="F261" s="582">
        <f>E261/D261*100</f>
        <v>40.61656546092237</v>
      </c>
      <c r="G261" s="583"/>
    </row>
    <row r="262" spans="1:7" s="776" customFormat="1" ht="18.75" customHeight="1">
      <c r="A262" s="770"/>
      <c r="B262" s="771"/>
      <c r="C262" s="772" t="s">
        <v>668</v>
      </c>
      <c r="D262" s="773">
        <v>202118</v>
      </c>
      <c r="E262" s="773">
        <v>87319.79</v>
      </c>
      <c r="F262" s="774">
        <f>E262/D262*100</f>
        <v>43.20238177698176</v>
      </c>
      <c r="G262" s="775"/>
    </row>
    <row r="263" spans="1:7" s="590" customFormat="1" ht="18.75" customHeight="1">
      <c r="A263" s="585"/>
      <c r="B263" s="586"/>
      <c r="C263" s="587" t="s">
        <v>285</v>
      </c>
      <c r="D263" s="588">
        <v>27118</v>
      </c>
      <c r="E263" s="588">
        <v>5788</v>
      </c>
      <c r="F263" s="589">
        <f>E263/D263*100</f>
        <v>21.343756914226713</v>
      </c>
      <c r="G263" s="583"/>
    </row>
    <row r="264" spans="1:7" s="757" customFormat="1" ht="18.75" customHeight="1">
      <c r="A264" s="751"/>
      <c r="B264" s="752"/>
      <c r="C264" s="753" t="s">
        <v>286</v>
      </c>
      <c r="D264" s="754">
        <v>393375</v>
      </c>
      <c r="E264" s="754">
        <v>190727.34</v>
      </c>
      <c r="F264" s="755">
        <f t="shared" si="15"/>
        <v>48.48486558627264</v>
      </c>
      <c r="G264" s="756"/>
    </row>
    <row r="265" spans="1:8" s="626" customFormat="1" ht="18.75" customHeight="1">
      <c r="A265" s="615"/>
      <c r="B265" s="565" t="s">
        <v>1463</v>
      </c>
      <c r="C265" s="597" t="s">
        <v>1464</v>
      </c>
      <c r="D265" s="567">
        <f>SUM(D266,D272)</f>
        <v>9197137</v>
      </c>
      <c r="E265" s="567">
        <f>SUM(E266,E272)</f>
        <v>4732083.550000001</v>
      </c>
      <c r="F265" s="568">
        <f t="shared" si="15"/>
        <v>51.45170230692443</v>
      </c>
      <c r="G265" s="583"/>
      <c r="H265" s="584"/>
    </row>
    <row r="266" spans="1:7" s="577" customFormat="1" ht="18.75" customHeight="1">
      <c r="A266" s="571"/>
      <c r="B266" s="572"/>
      <c r="C266" s="573" t="s">
        <v>185</v>
      </c>
      <c r="D266" s="574">
        <f>SUM(D267,D270,D271)</f>
        <v>9037137</v>
      </c>
      <c r="E266" s="574">
        <f>SUM(E267,E270,E271)</f>
        <v>4732083.550000001</v>
      </c>
      <c r="F266" s="575">
        <f t="shared" si="15"/>
        <v>52.36264040259654</v>
      </c>
      <c r="G266" s="576"/>
    </row>
    <row r="267" spans="1:7" s="584" customFormat="1" ht="18" customHeight="1">
      <c r="A267" s="578"/>
      <c r="B267" s="579"/>
      <c r="C267" s="580" t="s">
        <v>284</v>
      </c>
      <c r="D267" s="581">
        <f>SUM(D268,D269)</f>
        <v>8458724</v>
      </c>
      <c r="E267" s="581">
        <f>SUM(E268,E269)</f>
        <v>4476758.7</v>
      </c>
      <c r="F267" s="582">
        <f t="shared" si="15"/>
        <v>52.924752007513185</v>
      </c>
      <c r="G267" s="583"/>
    </row>
    <row r="268" spans="1:7" s="776" customFormat="1" ht="18.75" customHeight="1">
      <c r="A268" s="770"/>
      <c r="B268" s="771"/>
      <c r="C268" s="772" t="s">
        <v>668</v>
      </c>
      <c r="D268" s="773">
        <v>7050256</v>
      </c>
      <c r="E268" s="773">
        <v>3693489.32</v>
      </c>
      <c r="F268" s="774">
        <f t="shared" si="15"/>
        <v>52.38801711597423</v>
      </c>
      <c r="G268" s="775"/>
    </row>
    <row r="269" spans="1:7" s="590" customFormat="1" ht="18.75" customHeight="1">
      <c r="A269" s="585"/>
      <c r="B269" s="586"/>
      <c r="C269" s="587" t="s">
        <v>285</v>
      </c>
      <c r="D269" s="588">
        <v>1408468</v>
      </c>
      <c r="E269" s="588">
        <v>783269.38</v>
      </c>
      <c r="F269" s="589">
        <f t="shared" si="15"/>
        <v>55.61144307147908</v>
      </c>
      <c r="G269" s="583"/>
    </row>
    <row r="270" spans="1:7" s="584" customFormat="1" ht="18.75" customHeight="1">
      <c r="A270" s="617"/>
      <c r="B270" s="579"/>
      <c r="C270" s="625" t="s">
        <v>296</v>
      </c>
      <c r="D270" s="581">
        <v>8404</v>
      </c>
      <c r="E270" s="581">
        <v>4350.74</v>
      </c>
      <c r="F270" s="582">
        <f t="shared" si="15"/>
        <v>51.76987148976677</v>
      </c>
      <c r="G270" s="583"/>
    </row>
    <row r="271" spans="1:7" s="757" customFormat="1" ht="18.75" customHeight="1">
      <c r="A271" s="751"/>
      <c r="B271" s="752"/>
      <c r="C271" s="753" t="s">
        <v>286</v>
      </c>
      <c r="D271" s="754">
        <v>570009</v>
      </c>
      <c r="E271" s="754">
        <v>250974.11</v>
      </c>
      <c r="F271" s="755">
        <f t="shared" si="15"/>
        <v>44.02985040587078</v>
      </c>
      <c r="G271" s="756"/>
    </row>
    <row r="272" spans="1:7" s="757" customFormat="1" ht="18.75" customHeight="1">
      <c r="A272" s="54"/>
      <c r="B272" s="55"/>
      <c r="C272" s="56" t="s">
        <v>287</v>
      </c>
      <c r="D272" s="57">
        <f>SUM(D273)</f>
        <v>160000</v>
      </c>
      <c r="E272" s="57">
        <f>SUM(E273)</f>
        <v>0</v>
      </c>
      <c r="F272" s="58">
        <f>E272/D272*100</f>
        <v>0</v>
      </c>
      <c r="G272" s="756"/>
    </row>
    <row r="273" spans="1:7" s="757" customFormat="1" ht="30" customHeight="1">
      <c r="A273" s="61"/>
      <c r="B273" s="62"/>
      <c r="C273" s="26" t="s">
        <v>1367</v>
      </c>
      <c r="D273" s="27">
        <v>160000</v>
      </c>
      <c r="E273" s="27">
        <v>0</v>
      </c>
      <c r="F273" s="63">
        <f>E273/D273*100</f>
        <v>0</v>
      </c>
      <c r="G273" s="756"/>
    </row>
    <row r="274" spans="1:7" s="570" customFormat="1" ht="17.25" customHeight="1">
      <c r="A274" s="664"/>
      <c r="B274" s="565" t="s">
        <v>158</v>
      </c>
      <c r="C274" s="597" t="s">
        <v>159</v>
      </c>
      <c r="D274" s="567">
        <f>D275</f>
        <v>88768</v>
      </c>
      <c r="E274" s="567">
        <f>E275</f>
        <v>43594.14</v>
      </c>
      <c r="F274" s="568">
        <f aca="true" t="shared" si="16" ref="F274:F292">E274/D274*100</f>
        <v>49.110197368421055</v>
      </c>
      <c r="G274" s="562"/>
    </row>
    <row r="275" spans="1:7" s="577" customFormat="1" ht="18.75" customHeight="1">
      <c r="A275" s="571"/>
      <c r="B275" s="572"/>
      <c r="C275" s="573" t="s">
        <v>185</v>
      </c>
      <c r="D275" s="574">
        <f>SUM(D276)</f>
        <v>88768</v>
      </c>
      <c r="E275" s="574">
        <f>SUM(E276)</f>
        <v>43594.14</v>
      </c>
      <c r="F275" s="575">
        <f t="shared" si="16"/>
        <v>49.110197368421055</v>
      </c>
      <c r="G275" s="576"/>
    </row>
    <row r="276" spans="1:7" s="584" customFormat="1" ht="18" customHeight="1">
      <c r="A276" s="578"/>
      <c r="B276" s="579"/>
      <c r="C276" s="580" t="s">
        <v>284</v>
      </c>
      <c r="D276" s="581">
        <f>SUM(D277)</f>
        <v>88768</v>
      </c>
      <c r="E276" s="581">
        <f>SUM(E277)</f>
        <v>43594.14</v>
      </c>
      <c r="F276" s="582">
        <f t="shared" si="16"/>
        <v>49.110197368421055</v>
      </c>
      <c r="G276" s="583"/>
    </row>
    <row r="277" spans="1:7" s="590" customFormat="1" ht="18.75" customHeight="1">
      <c r="A277" s="585"/>
      <c r="B277" s="586"/>
      <c r="C277" s="587" t="s">
        <v>285</v>
      </c>
      <c r="D277" s="588">
        <v>88768</v>
      </c>
      <c r="E277" s="588">
        <v>43594.14</v>
      </c>
      <c r="F277" s="589">
        <f t="shared" si="16"/>
        <v>49.110197368421055</v>
      </c>
      <c r="G277" s="583"/>
    </row>
    <row r="278" spans="1:7" s="570" customFormat="1" ht="18.75" customHeight="1">
      <c r="A278" s="615"/>
      <c r="B278" s="565" t="s">
        <v>722</v>
      </c>
      <c r="C278" s="597" t="s">
        <v>723</v>
      </c>
      <c r="D278" s="567">
        <f>D281</f>
        <v>169766</v>
      </c>
      <c r="E278" s="567">
        <f>E281</f>
        <v>41014.42</v>
      </c>
      <c r="F278" s="568">
        <f t="shared" si="16"/>
        <v>24.159384093399147</v>
      </c>
      <c r="G278" s="562"/>
    </row>
    <row r="279" spans="1:7" s="577" customFormat="1" ht="18.75" customHeight="1">
      <c r="A279" s="571"/>
      <c r="B279" s="572"/>
      <c r="C279" s="573" t="s">
        <v>185</v>
      </c>
      <c r="D279" s="574">
        <f>SUM(D280)</f>
        <v>169766</v>
      </c>
      <c r="E279" s="574">
        <f>SUM(E280)</f>
        <v>41014.42</v>
      </c>
      <c r="F279" s="575">
        <f t="shared" si="16"/>
        <v>24.159384093399147</v>
      </c>
      <c r="G279" s="576"/>
    </row>
    <row r="280" spans="1:7" s="584" customFormat="1" ht="18" customHeight="1">
      <c r="A280" s="578"/>
      <c r="B280" s="579"/>
      <c r="C280" s="580" t="s">
        <v>284</v>
      </c>
      <c r="D280" s="581">
        <f>SUM(D281)</f>
        <v>169766</v>
      </c>
      <c r="E280" s="581">
        <f>SUM(E281)</f>
        <v>41014.42</v>
      </c>
      <c r="F280" s="582">
        <f t="shared" si="16"/>
        <v>24.159384093399147</v>
      </c>
      <c r="G280" s="583"/>
    </row>
    <row r="281" spans="1:7" s="590" customFormat="1" ht="18.75" customHeight="1">
      <c r="A281" s="585"/>
      <c r="B281" s="586"/>
      <c r="C281" s="587" t="s">
        <v>285</v>
      </c>
      <c r="D281" s="588">
        <v>169766</v>
      </c>
      <c r="E281" s="588">
        <v>41014.42</v>
      </c>
      <c r="F281" s="589">
        <f t="shared" si="16"/>
        <v>24.159384093399147</v>
      </c>
      <c r="G281" s="583"/>
    </row>
    <row r="282" spans="1:7" s="570" customFormat="1" ht="18.75" customHeight="1">
      <c r="A282" s="615"/>
      <c r="B282" s="565" t="s">
        <v>472</v>
      </c>
      <c r="C282" s="566" t="s">
        <v>532</v>
      </c>
      <c r="D282" s="567">
        <f>SUM(D283)</f>
        <v>1322249</v>
      </c>
      <c r="E282" s="567">
        <f>SUM(E283)</f>
        <v>697380.65</v>
      </c>
      <c r="F282" s="568">
        <f t="shared" si="16"/>
        <v>52.74200623331914</v>
      </c>
      <c r="G282" s="562"/>
    </row>
    <row r="283" spans="1:7" s="577" customFormat="1" ht="18.75" customHeight="1">
      <c r="A283" s="571"/>
      <c r="B283" s="572"/>
      <c r="C283" s="573" t="s">
        <v>185</v>
      </c>
      <c r="D283" s="574">
        <f>SUM(D284,D287)</f>
        <v>1322249</v>
      </c>
      <c r="E283" s="574">
        <f>SUM(E284,E287)</f>
        <v>697380.65</v>
      </c>
      <c r="F283" s="575">
        <f t="shared" si="16"/>
        <v>52.74200623331914</v>
      </c>
      <c r="G283" s="576"/>
    </row>
    <row r="284" spans="1:7" s="584" customFormat="1" ht="18" customHeight="1">
      <c r="A284" s="578"/>
      <c r="B284" s="579"/>
      <c r="C284" s="580" t="s">
        <v>284</v>
      </c>
      <c r="D284" s="581">
        <f>SUM(D285,D286)</f>
        <v>1318893</v>
      </c>
      <c r="E284" s="581">
        <f>SUM(E285,E286)</f>
        <v>696516.06</v>
      </c>
      <c r="F284" s="582">
        <f t="shared" si="16"/>
        <v>52.81065711926593</v>
      </c>
      <c r="G284" s="583"/>
    </row>
    <row r="285" spans="1:7" s="776" customFormat="1" ht="18.75" customHeight="1">
      <c r="A285" s="770"/>
      <c r="B285" s="771"/>
      <c r="C285" s="772" t="s">
        <v>668</v>
      </c>
      <c r="D285" s="773">
        <v>1116653</v>
      </c>
      <c r="E285" s="773">
        <v>605274.68</v>
      </c>
      <c r="F285" s="774">
        <f t="shared" si="16"/>
        <v>54.204366083286395</v>
      </c>
      <c r="G285" s="775"/>
    </row>
    <row r="286" spans="1:7" s="590" customFormat="1" ht="18.75" customHeight="1">
      <c r="A286" s="585"/>
      <c r="B286" s="586"/>
      <c r="C286" s="587" t="s">
        <v>285</v>
      </c>
      <c r="D286" s="588">
        <v>202240</v>
      </c>
      <c r="E286" s="588">
        <v>91241.38</v>
      </c>
      <c r="F286" s="589">
        <f t="shared" si="16"/>
        <v>45.115397547468355</v>
      </c>
      <c r="G286" s="583"/>
    </row>
    <row r="287" spans="1:7" s="584" customFormat="1" ht="18.75" customHeight="1">
      <c r="A287" s="617"/>
      <c r="B287" s="579"/>
      <c r="C287" s="625" t="s">
        <v>296</v>
      </c>
      <c r="D287" s="581">
        <v>3356</v>
      </c>
      <c r="E287" s="581">
        <v>864.59</v>
      </c>
      <c r="F287" s="582">
        <f t="shared" si="16"/>
        <v>25.762514898688917</v>
      </c>
      <c r="G287" s="583"/>
    </row>
    <row r="288" spans="1:8" s="626" customFormat="1" ht="18.75" customHeight="1">
      <c r="A288" s="615"/>
      <c r="B288" s="565" t="s">
        <v>724</v>
      </c>
      <c r="C288" s="597" t="s">
        <v>1358</v>
      </c>
      <c r="D288" s="567">
        <f>SUM(D289)</f>
        <v>492692</v>
      </c>
      <c r="E288" s="567">
        <f>SUM(E289)</f>
        <v>126932.29999999999</v>
      </c>
      <c r="F288" s="568">
        <f t="shared" si="16"/>
        <v>25.763012186112217</v>
      </c>
      <c r="G288" s="583"/>
      <c r="H288" s="584"/>
    </row>
    <row r="289" spans="1:7" s="577" customFormat="1" ht="18.75" customHeight="1">
      <c r="A289" s="571"/>
      <c r="B289" s="572"/>
      <c r="C289" s="573" t="s">
        <v>185</v>
      </c>
      <c r="D289" s="574">
        <f>SUM(D290,D293,D294)</f>
        <v>492692</v>
      </c>
      <c r="E289" s="574">
        <f>SUM(E290,E293,E294)</f>
        <v>126932.29999999999</v>
      </c>
      <c r="F289" s="575">
        <f t="shared" si="16"/>
        <v>25.763012186112217</v>
      </c>
      <c r="G289" s="576"/>
    </row>
    <row r="290" spans="1:7" s="584" customFormat="1" ht="18" customHeight="1">
      <c r="A290" s="578"/>
      <c r="B290" s="579"/>
      <c r="C290" s="580" t="s">
        <v>284</v>
      </c>
      <c r="D290" s="581">
        <f>SUM(D291,D292)</f>
        <v>414162</v>
      </c>
      <c r="E290" s="581">
        <f>SUM(E291,E292)</f>
        <v>93828.4</v>
      </c>
      <c r="F290" s="582">
        <f t="shared" si="16"/>
        <v>22.654999734403443</v>
      </c>
      <c r="G290" s="583"/>
    </row>
    <row r="291" spans="1:7" s="776" customFormat="1" ht="18.75" customHeight="1">
      <c r="A291" s="770"/>
      <c r="B291" s="771"/>
      <c r="C291" s="772" t="s">
        <v>668</v>
      </c>
      <c r="D291" s="773">
        <v>156799</v>
      </c>
      <c r="E291" s="773">
        <v>0</v>
      </c>
      <c r="F291" s="774">
        <f t="shared" si="16"/>
        <v>0</v>
      </c>
      <c r="G291" s="775"/>
    </row>
    <row r="292" spans="1:7" s="590" customFormat="1" ht="18.75" customHeight="1">
      <c r="A292" s="585"/>
      <c r="B292" s="586"/>
      <c r="C292" s="587" t="s">
        <v>285</v>
      </c>
      <c r="D292" s="588">
        <v>257363</v>
      </c>
      <c r="E292" s="588">
        <v>93828.4</v>
      </c>
      <c r="F292" s="589">
        <f t="shared" si="16"/>
        <v>36.45761045682557</v>
      </c>
      <c r="G292" s="583"/>
    </row>
    <row r="293" spans="1:7" s="757" customFormat="1" ht="18.75" customHeight="1">
      <c r="A293" s="765"/>
      <c r="B293" s="752"/>
      <c r="C293" s="753" t="s">
        <v>286</v>
      </c>
      <c r="D293" s="754">
        <v>5000</v>
      </c>
      <c r="E293" s="754">
        <v>0</v>
      </c>
      <c r="F293" s="755">
        <f aca="true" t="shared" si="17" ref="F293:F341">E293/D293*100</f>
        <v>0</v>
      </c>
      <c r="G293" s="756"/>
    </row>
    <row r="294" spans="1:7" s="584" customFormat="1" ht="18.75" customHeight="1">
      <c r="A294" s="617"/>
      <c r="B294" s="579"/>
      <c r="C294" s="625" t="s">
        <v>296</v>
      </c>
      <c r="D294" s="581">
        <v>73530</v>
      </c>
      <c r="E294" s="581">
        <v>33103.9</v>
      </c>
      <c r="F294" s="582">
        <f t="shared" si="17"/>
        <v>45.02094383244935</v>
      </c>
      <c r="G294" s="583"/>
    </row>
    <row r="295" spans="1:7" s="570" customFormat="1" ht="18.75" customHeight="1">
      <c r="A295" s="616" t="s">
        <v>1468</v>
      </c>
      <c r="B295" s="558"/>
      <c r="C295" s="599" t="s">
        <v>1469</v>
      </c>
      <c r="D295" s="560">
        <f>SUM(D296,D304,D310,D315,D324,D327)</f>
        <v>1836622</v>
      </c>
      <c r="E295" s="560">
        <f>SUM(E296,E304,E310,E315,E324,E327)</f>
        <v>901873.83</v>
      </c>
      <c r="F295" s="561">
        <f t="shared" si="17"/>
        <v>49.10503249988293</v>
      </c>
      <c r="G295" s="562"/>
    </row>
    <row r="296" spans="1:8" s="626" customFormat="1" ht="18.75" customHeight="1">
      <c r="A296" s="615"/>
      <c r="B296" s="565" t="s">
        <v>731</v>
      </c>
      <c r="C296" s="665" t="s">
        <v>732</v>
      </c>
      <c r="D296" s="666">
        <f>SUM(D297,D302)</f>
        <v>37370</v>
      </c>
      <c r="E296" s="666">
        <f>SUM(E297,E302)</f>
        <v>9677.869999999999</v>
      </c>
      <c r="F296" s="568">
        <f t="shared" si="17"/>
        <v>25.897431094460792</v>
      </c>
      <c r="G296" s="583"/>
      <c r="H296" s="584"/>
    </row>
    <row r="297" spans="1:7" s="577" customFormat="1" ht="18.75" customHeight="1">
      <c r="A297" s="571"/>
      <c r="B297" s="572"/>
      <c r="C297" s="573" t="s">
        <v>185</v>
      </c>
      <c r="D297" s="574">
        <f>SUM(D298,D301)</f>
        <v>27370</v>
      </c>
      <c r="E297" s="574">
        <f>SUM(E298,E301)</f>
        <v>9677.869999999999</v>
      </c>
      <c r="F297" s="575">
        <f t="shared" si="17"/>
        <v>35.359408111070515</v>
      </c>
      <c r="G297" s="576"/>
    </row>
    <row r="298" spans="1:7" s="584" customFormat="1" ht="18" customHeight="1">
      <c r="A298" s="578"/>
      <c r="B298" s="579"/>
      <c r="C298" s="580" t="s">
        <v>284</v>
      </c>
      <c r="D298" s="581">
        <f>SUM(D299,D300)</f>
        <v>16370</v>
      </c>
      <c r="E298" s="581">
        <f>SUM(E299,E300)</f>
        <v>3677.87</v>
      </c>
      <c r="F298" s="582">
        <f t="shared" si="17"/>
        <v>22.467135003054366</v>
      </c>
      <c r="G298" s="583"/>
    </row>
    <row r="299" spans="1:7" s="71" customFormat="1" ht="18.75" customHeight="1" hidden="1">
      <c r="A299" s="66"/>
      <c r="B299" s="67"/>
      <c r="C299" s="68" t="s">
        <v>668</v>
      </c>
      <c r="D299" s="69">
        <v>0</v>
      </c>
      <c r="E299" s="69">
        <v>0</v>
      </c>
      <c r="F299" s="70" t="e">
        <f t="shared" si="17"/>
        <v>#DIV/0!</v>
      </c>
      <c r="G299" s="64"/>
    </row>
    <row r="300" spans="1:7" s="590" customFormat="1" ht="18.75" customHeight="1">
      <c r="A300" s="585"/>
      <c r="B300" s="586"/>
      <c r="C300" s="587" t="s">
        <v>285</v>
      </c>
      <c r="D300" s="588">
        <v>16370</v>
      </c>
      <c r="E300" s="588">
        <v>3677.87</v>
      </c>
      <c r="F300" s="589">
        <f t="shared" si="17"/>
        <v>22.467135003054366</v>
      </c>
      <c r="G300" s="583"/>
    </row>
    <row r="301" spans="1:7" s="757" customFormat="1" ht="18.75" customHeight="1">
      <c r="A301" s="765"/>
      <c r="B301" s="752"/>
      <c r="C301" s="753" t="s">
        <v>286</v>
      </c>
      <c r="D301" s="754">
        <v>11000</v>
      </c>
      <c r="E301" s="754">
        <v>6000</v>
      </c>
      <c r="F301" s="755">
        <f t="shared" si="17"/>
        <v>54.54545454545454</v>
      </c>
      <c r="G301" s="756"/>
    </row>
    <row r="302" spans="1:7" s="607" customFormat="1" ht="18.75" customHeight="1">
      <c r="A302" s="601"/>
      <c r="B302" s="602"/>
      <c r="C302" s="603" t="s">
        <v>287</v>
      </c>
      <c r="D302" s="604">
        <f>SUM(D303)</f>
        <v>10000</v>
      </c>
      <c r="E302" s="604">
        <f>SUM(E303)</f>
        <v>0</v>
      </c>
      <c r="F302" s="605">
        <f>E302/D302*100</f>
        <v>0</v>
      </c>
      <c r="G302" s="606"/>
    </row>
    <row r="303" spans="1:7" s="614" customFormat="1" ht="27" customHeight="1">
      <c r="A303" s="608"/>
      <c r="B303" s="609"/>
      <c r="C303" s="610" t="s">
        <v>1367</v>
      </c>
      <c r="D303" s="611">
        <v>10000</v>
      </c>
      <c r="E303" s="611">
        <v>0</v>
      </c>
      <c r="F303" s="612">
        <f>E303/D303*100</f>
        <v>0</v>
      </c>
      <c r="G303" s="613"/>
    </row>
    <row r="304" spans="1:7" s="570" customFormat="1" ht="18.75" customHeight="1">
      <c r="A304" s="615"/>
      <c r="B304" s="565" t="s">
        <v>733</v>
      </c>
      <c r="C304" s="566" t="s">
        <v>734</v>
      </c>
      <c r="D304" s="567">
        <f>SUM(D305)</f>
        <v>10000</v>
      </c>
      <c r="E304" s="567">
        <f>SUM(E305)</f>
        <v>6500</v>
      </c>
      <c r="F304" s="582">
        <f t="shared" si="17"/>
        <v>65</v>
      </c>
      <c r="G304" s="562"/>
    </row>
    <row r="305" spans="1:7" s="577" customFormat="1" ht="18.75" customHeight="1">
      <c r="A305" s="571"/>
      <c r="B305" s="572"/>
      <c r="C305" s="573" t="s">
        <v>185</v>
      </c>
      <c r="D305" s="574">
        <f>SUM(D306,D309)</f>
        <v>10000</v>
      </c>
      <c r="E305" s="574">
        <f>SUM(E306,E309)</f>
        <v>6500</v>
      </c>
      <c r="F305" s="575">
        <f t="shared" si="17"/>
        <v>65</v>
      </c>
      <c r="G305" s="576"/>
    </row>
    <row r="306" spans="1:7" s="584" customFormat="1" ht="18" customHeight="1">
      <c r="A306" s="578"/>
      <c r="B306" s="579"/>
      <c r="C306" s="580" t="s">
        <v>284</v>
      </c>
      <c r="D306" s="581">
        <f>SUM(D307,D308)</f>
        <v>3500</v>
      </c>
      <c r="E306" s="581">
        <f>SUM(E307,E308)</f>
        <v>0</v>
      </c>
      <c r="F306" s="582">
        <f t="shared" si="17"/>
        <v>0</v>
      </c>
      <c r="G306" s="583"/>
    </row>
    <row r="307" spans="1:7" s="776" customFormat="1" ht="18.75" customHeight="1" hidden="1">
      <c r="A307" s="770"/>
      <c r="B307" s="771"/>
      <c r="C307" s="772" t="s">
        <v>668</v>
      </c>
      <c r="D307" s="773">
        <v>0</v>
      </c>
      <c r="E307" s="773">
        <v>0</v>
      </c>
      <c r="F307" s="774" t="e">
        <f t="shared" si="17"/>
        <v>#DIV/0!</v>
      </c>
      <c r="G307" s="775"/>
    </row>
    <row r="308" spans="1:7" s="590" customFormat="1" ht="18.75" customHeight="1">
      <c r="A308" s="585"/>
      <c r="B308" s="586"/>
      <c r="C308" s="587" t="s">
        <v>285</v>
      </c>
      <c r="D308" s="588">
        <v>3500</v>
      </c>
      <c r="E308" s="588">
        <v>0</v>
      </c>
      <c r="F308" s="589">
        <f t="shared" si="17"/>
        <v>0</v>
      </c>
      <c r="G308" s="583"/>
    </row>
    <row r="309" spans="1:7" s="590" customFormat="1" ht="18.75" customHeight="1">
      <c r="A309" s="1466"/>
      <c r="B309" s="586"/>
      <c r="C309" s="766" t="s">
        <v>286</v>
      </c>
      <c r="D309" s="754">
        <v>6500</v>
      </c>
      <c r="E309" s="754">
        <v>6500</v>
      </c>
      <c r="F309" s="755">
        <f aca="true" t="shared" si="18" ref="F309:F314">E309/D309*100</f>
        <v>100</v>
      </c>
      <c r="G309" s="583"/>
    </row>
    <row r="310" spans="1:8" s="626" customFormat="1" ht="18.75" customHeight="1">
      <c r="A310" s="615"/>
      <c r="B310" s="565" t="s">
        <v>735</v>
      </c>
      <c r="C310" s="597" t="s">
        <v>736</v>
      </c>
      <c r="D310" s="567">
        <f>SUM(D311)</f>
        <v>44252</v>
      </c>
      <c r="E310" s="567">
        <f>SUM(E311)</f>
        <v>7292</v>
      </c>
      <c r="F310" s="568">
        <f t="shared" si="18"/>
        <v>16.478351260959954</v>
      </c>
      <c r="G310" s="583"/>
      <c r="H310" s="584"/>
    </row>
    <row r="311" spans="1:7" s="577" customFormat="1" ht="18.75" customHeight="1">
      <c r="A311" s="571"/>
      <c r="B311" s="572"/>
      <c r="C311" s="573" t="s">
        <v>185</v>
      </c>
      <c r="D311" s="574">
        <f>SUM(D312,D314)</f>
        <v>44252</v>
      </c>
      <c r="E311" s="574">
        <f>SUM(E312,E314)</f>
        <v>7292</v>
      </c>
      <c r="F311" s="575">
        <f t="shared" si="18"/>
        <v>16.478351260959954</v>
      </c>
      <c r="G311" s="576"/>
    </row>
    <row r="312" spans="1:7" s="584" customFormat="1" ht="18" customHeight="1">
      <c r="A312" s="578"/>
      <c r="B312" s="579"/>
      <c r="C312" s="580" t="s">
        <v>284</v>
      </c>
      <c r="D312" s="581">
        <f>SUM(D313)</f>
        <v>18200</v>
      </c>
      <c r="E312" s="581">
        <f>SUM(E313)</f>
        <v>900</v>
      </c>
      <c r="F312" s="582">
        <f t="shared" si="18"/>
        <v>4.945054945054945</v>
      </c>
      <c r="G312" s="583"/>
    </row>
    <row r="313" spans="1:7" s="590" customFormat="1" ht="18.75" customHeight="1">
      <c r="A313" s="585"/>
      <c r="B313" s="586"/>
      <c r="C313" s="587" t="s">
        <v>285</v>
      </c>
      <c r="D313" s="588">
        <v>18200</v>
      </c>
      <c r="E313" s="588">
        <v>900</v>
      </c>
      <c r="F313" s="589">
        <f t="shared" si="18"/>
        <v>4.945054945054945</v>
      </c>
      <c r="G313" s="583"/>
    </row>
    <row r="314" spans="1:7" s="757" customFormat="1" ht="18.75" customHeight="1">
      <c r="A314" s="765"/>
      <c r="B314" s="752"/>
      <c r="C314" s="766" t="s">
        <v>286</v>
      </c>
      <c r="D314" s="754">
        <v>26052</v>
      </c>
      <c r="E314" s="754">
        <v>6392</v>
      </c>
      <c r="F314" s="755">
        <f t="shared" si="18"/>
        <v>24.53554429602334</v>
      </c>
      <c r="G314" s="767"/>
    </row>
    <row r="315" spans="1:8" s="626" customFormat="1" ht="18.75" customHeight="1">
      <c r="A315" s="615"/>
      <c r="B315" s="565" t="s">
        <v>1470</v>
      </c>
      <c r="C315" s="597" t="s">
        <v>1471</v>
      </c>
      <c r="D315" s="567">
        <f>SUM(D316,D321)</f>
        <v>1700000</v>
      </c>
      <c r="E315" s="567">
        <f>SUM(E316,E321)</f>
        <v>858544.51</v>
      </c>
      <c r="F315" s="568">
        <f t="shared" si="17"/>
        <v>50.502618235294115</v>
      </c>
      <c r="G315" s="583"/>
      <c r="H315" s="584"/>
    </row>
    <row r="316" spans="1:7" s="577" customFormat="1" ht="18.75" customHeight="1">
      <c r="A316" s="571"/>
      <c r="B316" s="572"/>
      <c r="C316" s="573" t="s">
        <v>185</v>
      </c>
      <c r="D316" s="574">
        <f>SUM(D317,D320)</f>
        <v>1182480</v>
      </c>
      <c r="E316" s="574">
        <f>SUM(E317,E320)</f>
        <v>510660.45999999996</v>
      </c>
      <c r="F316" s="575">
        <f t="shared" si="17"/>
        <v>43.18554732426764</v>
      </c>
      <c r="G316" s="576"/>
    </row>
    <row r="317" spans="1:7" s="584" customFormat="1" ht="18" customHeight="1">
      <c r="A317" s="578"/>
      <c r="B317" s="579"/>
      <c r="C317" s="580" t="s">
        <v>284</v>
      </c>
      <c r="D317" s="581">
        <f>SUM(D318,D319)</f>
        <v>444080</v>
      </c>
      <c r="E317" s="581">
        <f>SUM(E318,E319)</f>
        <v>148293.91999999998</v>
      </c>
      <c r="F317" s="582">
        <f t="shared" si="17"/>
        <v>33.39351468203927</v>
      </c>
      <c r="G317" s="583"/>
    </row>
    <row r="318" spans="1:7" s="776" customFormat="1" ht="18.75" customHeight="1">
      <c r="A318" s="770"/>
      <c r="B318" s="771"/>
      <c r="C318" s="772" t="s">
        <v>668</v>
      </c>
      <c r="D318" s="773">
        <v>292920</v>
      </c>
      <c r="E318" s="773">
        <v>107463.25</v>
      </c>
      <c r="F318" s="774">
        <f t="shared" si="17"/>
        <v>36.68689403250034</v>
      </c>
      <c r="G318" s="775"/>
    </row>
    <row r="319" spans="1:7" s="590" customFormat="1" ht="18.75" customHeight="1">
      <c r="A319" s="585"/>
      <c r="B319" s="586"/>
      <c r="C319" s="587" t="s">
        <v>285</v>
      </c>
      <c r="D319" s="588">
        <v>151160</v>
      </c>
      <c r="E319" s="588">
        <v>40830.67</v>
      </c>
      <c r="F319" s="589">
        <f t="shared" si="17"/>
        <v>27.011557290288437</v>
      </c>
      <c r="G319" s="583"/>
    </row>
    <row r="320" spans="1:7" s="757" customFormat="1" ht="18.75" customHeight="1">
      <c r="A320" s="765"/>
      <c r="B320" s="752"/>
      <c r="C320" s="766" t="s">
        <v>286</v>
      </c>
      <c r="D320" s="754">
        <v>738400</v>
      </c>
      <c r="E320" s="754">
        <v>362366.54</v>
      </c>
      <c r="F320" s="755">
        <f t="shared" si="17"/>
        <v>49.074558504875405</v>
      </c>
      <c r="G320" s="767"/>
    </row>
    <row r="321" spans="1:7" s="577" customFormat="1" ht="18.75" customHeight="1">
      <c r="A321" s="571"/>
      <c r="B321" s="572"/>
      <c r="C321" s="573" t="s">
        <v>287</v>
      </c>
      <c r="D321" s="574">
        <f>SUM(D322,D323)</f>
        <v>517520</v>
      </c>
      <c r="E321" s="574">
        <f>SUM(E322,E323)</f>
        <v>347884.05</v>
      </c>
      <c r="F321" s="575">
        <f t="shared" si="17"/>
        <v>67.22137308703046</v>
      </c>
      <c r="G321" s="576"/>
    </row>
    <row r="322" spans="1:7" s="584" customFormat="1" ht="27" customHeight="1">
      <c r="A322" s="578"/>
      <c r="B322" s="579"/>
      <c r="C322" s="580" t="s">
        <v>1367</v>
      </c>
      <c r="D322" s="581">
        <v>57520</v>
      </c>
      <c r="E322" s="581">
        <v>0</v>
      </c>
      <c r="F322" s="582">
        <f t="shared" si="17"/>
        <v>0</v>
      </c>
      <c r="G322" s="583"/>
    </row>
    <row r="323" spans="1:7" s="65" customFormat="1" ht="18.75" customHeight="1">
      <c r="A323" s="61"/>
      <c r="B323" s="62"/>
      <c r="C323" s="26" t="s">
        <v>304</v>
      </c>
      <c r="D323" s="27">
        <v>460000</v>
      </c>
      <c r="E323" s="27">
        <v>347884.05</v>
      </c>
      <c r="F323" s="63">
        <f>E323/D323*100</f>
        <v>75.62696739130435</v>
      </c>
      <c r="G323" s="1339"/>
    </row>
    <row r="324" spans="1:7" s="645" customFormat="1" ht="45.75" customHeight="1" hidden="1">
      <c r="A324" s="639"/>
      <c r="B324" s="640" t="s">
        <v>155</v>
      </c>
      <c r="C324" s="661" t="s">
        <v>647</v>
      </c>
      <c r="D324" s="642">
        <f>SUM(D325)</f>
        <v>0</v>
      </c>
      <c r="E324" s="642">
        <f>SUM(E325)</f>
        <v>0</v>
      </c>
      <c r="F324" s="663" t="e">
        <f>E324/D324*100</f>
        <v>#DIV/0!</v>
      </c>
      <c r="G324" s="644"/>
    </row>
    <row r="325" spans="1:7" s="607" customFormat="1" ht="18.75" customHeight="1" hidden="1">
      <c r="A325" s="601"/>
      <c r="B325" s="602"/>
      <c r="C325" s="603" t="s">
        <v>185</v>
      </c>
      <c r="D325" s="604">
        <f>SUM(D326)</f>
        <v>0</v>
      </c>
      <c r="E325" s="604">
        <f>SUM(E326)</f>
        <v>0</v>
      </c>
      <c r="F325" s="605" t="e">
        <f>E325/D325*100</f>
        <v>#DIV/0!</v>
      </c>
      <c r="G325" s="606"/>
    </row>
    <row r="326" spans="1:7" s="757" customFormat="1" ht="18.75" customHeight="1" hidden="1">
      <c r="A326" s="765"/>
      <c r="B326" s="752"/>
      <c r="C326" s="766" t="s">
        <v>286</v>
      </c>
      <c r="D326" s="754">
        <v>0</v>
      </c>
      <c r="E326" s="754">
        <v>0</v>
      </c>
      <c r="F326" s="755" t="e">
        <f>E326/D326*100</f>
        <v>#DIV/0!</v>
      </c>
      <c r="G326" s="767"/>
    </row>
    <row r="327" spans="1:7" s="584" customFormat="1" ht="18.75" customHeight="1">
      <c r="A327" s="615"/>
      <c r="B327" s="565" t="s">
        <v>737</v>
      </c>
      <c r="C327" s="597" t="s">
        <v>1358</v>
      </c>
      <c r="D327" s="567">
        <f>SUM(D328,D333)</f>
        <v>45000</v>
      </c>
      <c r="E327" s="567">
        <f>SUM(E328,E333)</f>
        <v>19859.449999999997</v>
      </c>
      <c r="F327" s="568">
        <f t="shared" si="17"/>
        <v>44.13211111111111</v>
      </c>
      <c r="G327" s="583"/>
    </row>
    <row r="328" spans="1:7" s="577" customFormat="1" ht="18.75" customHeight="1">
      <c r="A328" s="571"/>
      <c r="B328" s="572"/>
      <c r="C328" s="573" t="s">
        <v>185</v>
      </c>
      <c r="D328" s="574">
        <f>SUM(D329,D332)</f>
        <v>45000</v>
      </c>
      <c r="E328" s="574">
        <f>SUM(E329,E332)</f>
        <v>19859.449999999997</v>
      </c>
      <c r="F328" s="575">
        <f t="shared" si="17"/>
        <v>44.13211111111111</v>
      </c>
      <c r="G328" s="576"/>
    </row>
    <row r="329" spans="1:7" s="584" customFormat="1" ht="18" customHeight="1">
      <c r="A329" s="578"/>
      <c r="B329" s="579"/>
      <c r="C329" s="580" t="s">
        <v>284</v>
      </c>
      <c r="D329" s="581">
        <f>SUM(D330,D331)</f>
        <v>27000</v>
      </c>
      <c r="E329" s="581">
        <f>SUM(E330,E331)</f>
        <v>10859.449999999999</v>
      </c>
      <c r="F329" s="582">
        <f t="shared" si="17"/>
        <v>40.22018518518518</v>
      </c>
      <c r="G329" s="583"/>
    </row>
    <row r="330" spans="1:7" s="776" customFormat="1" ht="18.75" customHeight="1">
      <c r="A330" s="770"/>
      <c r="B330" s="771"/>
      <c r="C330" s="772" t="s">
        <v>668</v>
      </c>
      <c r="D330" s="773">
        <v>5996</v>
      </c>
      <c r="E330" s="773">
        <v>2483.15</v>
      </c>
      <c r="F330" s="774">
        <f t="shared" si="17"/>
        <v>41.413442294863245</v>
      </c>
      <c r="G330" s="775"/>
    </row>
    <row r="331" spans="1:7" s="590" customFormat="1" ht="18.75" customHeight="1">
      <c r="A331" s="585"/>
      <c r="B331" s="586"/>
      <c r="C331" s="587" t="s">
        <v>285</v>
      </c>
      <c r="D331" s="588">
        <v>21004</v>
      </c>
      <c r="E331" s="588">
        <v>8376.3</v>
      </c>
      <c r="F331" s="589">
        <f t="shared" si="17"/>
        <v>39.879546752999424</v>
      </c>
      <c r="G331" s="583"/>
    </row>
    <row r="332" spans="1:7" s="757" customFormat="1" ht="18.75" customHeight="1">
      <c r="A332" s="765"/>
      <c r="B332" s="752"/>
      <c r="C332" s="766" t="s">
        <v>286</v>
      </c>
      <c r="D332" s="754">
        <v>18000</v>
      </c>
      <c r="E332" s="754">
        <v>9000</v>
      </c>
      <c r="F332" s="755">
        <f t="shared" si="17"/>
        <v>50</v>
      </c>
      <c r="G332" s="767"/>
    </row>
    <row r="333" spans="1:7" s="577" customFormat="1" ht="18.75" customHeight="1" hidden="1">
      <c r="A333" s="571"/>
      <c r="B333" s="572"/>
      <c r="C333" s="573" t="s">
        <v>287</v>
      </c>
      <c r="D333" s="574">
        <f>SUM(D334)</f>
        <v>0</v>
      </c>
      <c r="E333" s="574">
        <f>SUM(E334)</f>
        <v>0</v>
      </c>
      <c r="F333" s="575" t="e">
        <f>E333/D333*100</f>
        <v>#DIV/0!</v>
      </c>
      <c r="G333" s="576"/>
    </row>
    <row r="334" spans="1:7" s="584" customFormat="1" ht="27" customHeight="1" hidden="1">
      <c r="A334" s="578"/>
      <c r="B334" s="579"/>
      <c r="C334" s="580" t="s">
        <v>1367</v>
      </c>
      <c r="D334" s="581">
        <v>0</v>
      </c>
      <c r="E334" s="581">
        <v>0</v>
      </c>
      <c r="F334" s="582" t="e">
        <f>E334/D334*100</f>
        <v>#DIV/0!</v>
      </c>
      <c r="G334" s="583"/>
    </row>
    <row r="335" spans="1:8" s="626" customFormat="1" ht="18.75" customHeight="1">
      <c r="A335" s="616" t="s">
        <v>445</v>
      </c>
      <c r="B335" s="558"/>
      <c r="C335" s="599" t="s">
        <v>738</v>
      </c>
      <c r="D335" s="560">
        <f>SUM(D336,D342,D346,D351,D357,D361,D368,D373,D381,D384,D388,D396,D402,D405)</f>
        <v>14210872</v>
      </c>
      <c r="E335" s="560">
        <f>SUM(E336,E342,E346,E351,E357,E361,E368,E373,E381,E384,E388,E396,E402,E405)</f>
        <v>7277057.71</v>
      </c>
      <c r="F335" s="561">
        <f t="shared" si="17"/>
        <v>51.2076789517209</v>
      </c>
      <c r="G335" s="583"/>
      <c r="H335" s="584"/>
    </row>
    <row r="336" spans="1:7" s="570" customFormat="1" ht="18.75" customHeight="1">
      <c r="A336" s="615"/>
      <c r="B336" s="565" t="s">
        <v>446</v>
      </c>
      <c r="C336" s="597" t="s">
        <v>739</v>
      </c>
      <c r="D336" s="567">
        <f>SUM(D337,D341)</f>
        <v>113000</v>
      </c>
      <c r="E336" s="567">
        <f>SUM(E337)</f>
        <v>0</v>
      </c>
      <c r="F336" s="568">
        <f t="shared" si="17"/>
        <v>0</v>
      </c>
      <c r="G336" s="562"/>
    </row>
    <row r="337" spans="1:7" s="577" customFormat="1" ht="18.75" customHeight="1">
      <c r="A337" s="571"/>
      <c r="B337" s="572"/>
      <c r="C337" s="573" t="s">
        <v>185</v>
      </c>
      <c r="D337" s="574">
        <f aca="true" t="shared" si="19" ref="D337:E340">SUM(D338)</f>
        <v>3000</v>
      </c>
      <c r="E337" s="574">
        <f t="shared" si="19"/>
        <v>0</v>
      </c>
      <c r="F337" s="575">
        <f t="shared" si="17"/>
        <v>0</v>
      </c>
      <c r="G337" s="576"/>
    </row>
    <row r="338" spans="1:7" s="584" customFormat="1" ht="18" customHeight="1">
      <c r="A338" s="578"/>
      <c r="B338" s="579"/>
      <c r="C338" s="580" t="s">
        <v>284</v>
      </c>
      <c r="D338" s="581">
        <f t="shared" si="19"/>
        <v>3000</v>
      </c>
      <c r="E338" s="581">
        <f t="shared" si="19"/>
        <v>0</v>
      </c>
      <c r="F338" s="582">
        <f t="shared" si="17"/>
        <v>0</v>
      </c>
      <c r="G338" s="583"/>
    </row>
    <row r="339" spans="1:7" s="590" customFormat="1" ht="18.75" customHeight="1">
      <c r="A339" s="585"/>
      <c r="B339" s="586"/>
      <c r="C339" s="587" t="s">
        <v>285</v>
      </c>
      <c r="D339" s="588">
        <v>3000</v>
      </c>
      <c r="E339" s="588">
        <v>0</v>
      </c>
      <c r="F339" s="589">
        <f t="shared" si="17"/>
        <v>0</v>
      </c>
      <c r="G339" s="583"/>
    </row>
    <row r="340" spans="1:7" s="590" customFormat="1" ht="18.75" customHeight="1">
      <c r="A340" s="1466"/>
      <c r="B340" s="586"/>
      <c r="C340" s="603" t="s">
        <v>287</v>
      </c>
      <c r="D340" s="574">
        <f t="shared" si="19"/>
        <v>110000</v>
      </c>
      <c r="E340" s="574">
        <f t="shared" si="19"/>
        <v>0</v>
      </c>
      <c r="F340" s="575">
        <f>E340/D340*100</f>
        <v>0</v>
      </c>
      <c r="G340" s="583"/>
    </row>
    <row r="341" spans="1:7" s="590" customFormat="1" ht="31.5" customHeight="1">
      <c r="A341" s="1466"/>
      <c r="B341" s="586"/>
      <c r="C341" s="610" t="s">
        <v>1367</v>
      </c>
      <c r="D341" s="621">
        <v>110000</v>
      </c>
      <c r="E341" s="621">
        <v>0</v>
      </c>
      <c r="F341" s="622">
        <f t="shared" si="17"/>
        <v>0</v>
      </c>
      <c r="G341" s="583"/>
    </row>
    <row r="342" spans="1:8" s="626" customFormat="1" ht="18.75" customHeight="1">
      <c r="A342" s="615"/>
      <c r="B342" s="565" t="s">
        <v>740</v>
      </c>
      <c r="C342" s="566" t="s">
        <v>741</v>
      </c>
      <c r="D342" s="567">
        <f>SUM(D345)</f>
        <v>1111283</v>
      </c>
      <c r="E342" s="567">
        <f>SUM(E345)</f>
        <v>519165.6</v>
      </c>
      <c r="F342" s="582">
        <f aca="true" t="shared" si="20" ref="F342:F384">E342/D342*100</f>
        <v>46.71767677540284</v>
      </c>
      <c r="G342" s="583"/>
      <c r="H342" s="584"/>
    </row>
    <row r="343" spans="1:7" s="577" customFormat="1" ht="18.75" customHeight="1">
      <c r="A343" s="571"/>
      <c r="B343" s="572"/>
      <c r="C343" s="573" t="s">
        <v>185</v>
      </c>
      <c r="D343" s="574">
        <f>SUM(D344)</f>
        <v>1111283</v>
      </c>
      <c r="E343" s="574">
        <f>SUM(E344)</f>
        <v>519165.6</v>
      </c>
      <c r="F343" s="575">
        <f t="shared" si="20"/>
        <v>46.71767677540284</v>
      </c>
      <c r="G343" s="576"/>
    </row>
    <row r="344" spans="1:7" s="584" customFormat="1" ht="18" customHeight="1">
      <c r="A344" s="578"/>
      <c r="B344" s="579"/>
      <c r="C344" s="580" t="s">
        <v>284</v>
      </c>
      <c r="D344" s="581">
        <f>SUM(D345)</f>
        <v>1111283</v>
      </c>
      <c r="E344" s="581">
        <f>SUM(E345)</f>
        <v>519165.6</v>
      </c>
      <c r="F344" s="582">
        <f t="shared" si="20"/>
        <v>46.71767677540284</v>
      </c>
      <c r="G344" s="583"/>
    </row>
    <row r="345" spans="1:7" s="590" customFormat="1" ht="18.75" customHeight="1">
      <c r="A345" s="585"/>
      <c r="B345" s="586"/>
      <c r="C345" s="587" t="s">
        <v>285</v>
      </c>
      <c r="D345" s="588">
        <v>1111283</v>
      </c>
      <c r="E345" s="588">
        <v>519165.6</v>
      </c>
      <c r="F345" s="589">
        <f t="shared" si="20"/>
        <v>46.71767677540284</v>
      </c>
      <c r="G345" s="583"/>
    </row>
    <row r="346" spans="1:7" s="584" customFormat="1" ht="18.75" customHeight="1">
      <c r="A346" s="615"/>
      <c r="B346" s="565" t="s">
        <v>457</v>
      </c>
      <c r="C346" s="597" t="s">
        <v>223</v>
      </c>
      <c r="D346" s="567">
        <f>SUM(D347)</f>
        <v>217000</v>
      </c>
      <c r="E346" s="567">
        <f>SUM(E347)</f>
        <v>91200</v>
      </c>
      <c r="F346" s="568">
        <f t="shared" si="20"/>
        <v>42.02764976958525</v>
      </c>
      <c r="G346" s="583"/>
    </row>
    <row r="347" spans="1:7" s="577" customFormat="1" ht="18.75" customHeight="1">
      <c r="A347" s="571"/>
      <c r="B347" s="572"/>
      <c r="C347" s="573" t="s">
        <v>185</v>
      </c>
      <c r="D347" s="574">
        <f>SUM(D348,D350)</f>
        <v>217000</v>
      </c>
      <c r="E347" s="574">
        <f>SUM(E348,E350)</f>
        <v>91200</v>
      </c>
      <c r="F347" s="575">
        <f t="shared" si="20"/>
        <v>42.02764976958525</v>
      </c>
      <c r="G347" s="576"/>
    </row>
    <row r="348" spans="1:7" s="584" customFormat="1" ht="18" customHeight="1" hidden="1">
      <c r="A348" s="578"/>
      <c r="B348" s="579"/>
      <c r="C348" s="580" t="s">
        <v>284</v>
      </c>
      <c r="D348" s="581">
        <f>SUM(D349)</f>
        <v>0</v>
      </c>
      <c r="E348" s="581">
        <f>SUM(E349)</f>
        <v>0</v>
      </c>
      <c r="F348" s="582" t="e">
        <f t="shared" si="20"/>
        <v>#DIV/0!</v>
      </c>
      <c r="G348" s="583"/>
    </row>
    <row r="349" spans="1:7" s="590" customFormat="1" ht="18.75" customHeight="1" hidden="1">
      <c r="A349" s="585"/>
      <c r="B349" s="586"/>
      <c r="C349" s="587" t="s">
        <v>285</v>
      </c>
      <c r="D349" s="588">
        <v>0</v>
      </c>
      <c r="E349" s="588">
        <v>0</v>
      </c>
      <c r="F349" s="589" t="e">
        <f t="shared" si="20"/>
        <v>#DIV/0!</v>
      </c>
      <c r="G349" s="583"/>
    </row>
    <row r="350" spans="1:7" s="757" customFormat="1" ht="18.75" customHeight="1">
      <c r="A350" s="765"/>
      <c r="B350" s="752"/>
      <c r="C350" s="766" t="s">
        <v>286</v>
      </c>
      <c r="D350" s="754">
        <v>217000</v>
      </c>
      <c r="E350" s="754">
        <v>91200</v>
      </c>
      <c r="F350" s="755">
        <f t="shared" si="20"/>
        <v>42.02764976958525</v>
      </c>
      <c r="G350" s="767"/>
    </row>
    <row r="351" spans="1:7" s="645" customFormat="1" ht="29.25" customHeight="1">
      <c r="A351" s="639"/>
      <c r="B351" s="640" t="s">
        <v>423</v>
      </c>
      <c r="C351" s="668" t="s">
        <v>302</v>
      </c>
      <c r="D351" s="642">
        <f>SUM(D352)</f>
        <v>18000</v>
      </c>
      <c r="E351" s="642">
        <f>SUM(E352)</f>
        <v>325</v>
      </c>
      <c r="F351" s="643">
        <f t="shared" si="20"/>
        <v>1.8055555555555554</v>
      </c>
      <c r="G351" s="644"/>
    </row>
    <row r="352" spans="1:7" s="607" customFormat="1" ht="18.75" customHeight="1">
      <c r="A352" s="601"/>
      <c r="B352" s="602"/>
      <c r="C352" s="603" t="s">
        <v>185</v>
      </c>
      <c r="D352" s="604">
        <f>SUM(D353,D356)</f>
        <v>18000</v>
      </c>
      <c r="E352" s="604">
        <f>SUM(E353,E356)</f>
        <v>325</v>
      </c>
      <c r="F352" s="605">
        <f aca="true" t="shared" si="21" ref="F352:F360">E352/D352*100</f>
        <v>1.8055555555555554</v>
      </c>
      <c r="G352" s="606"/>
    </row>
    <row r="353" spans="1:7" s="614" customFormat="1" ht="18" customHeight="1">
      <c r="A353" s="608"/>
      <c r="B353" s="609"/>
      <c r="C353" s="610" t="s">
        <v>284</v>
      </c>
      <c r="D353" s="611">
        <f>SUM(D354,D355)</f>
        <v>10000</v>
      </c>
      <c r="E353" s="611">
        <f>SUM(E354,E355)</f>
        <v>325</v>
      </c>
      <c r="F353" s="612">
        <f t="shared" si="21"/>
        <v>3.25</v>
      </c>
      <c r="G353" s="613"/>
    </row>
    <row r="354" spans="1:7" s="776" customFormat="1" ht="18.75" customHeight="1">
      <c r="A354" s="770"/>
      <c r="B354" s="771"/>
      <c r="C354" s="772" t="s">
        <v>668</v>
      </c>
      <c r="D354" s="773">
        <v>3000</v>
      </c>
      <c r="E354" s="773">
        <v>0</v>
      </c>
      <c r="F354" s="774">
        <f t="shared" si="21"/>
        <v>0</v>
      </c>
      <c r="G354" s="775"/>
    </row>
    <row r="355" spans="1:7" s="623" customFormat="1" ht="18.75" customHeight="1">
      <c r="A355" s="618"/>
      <c r="B355" s="619"/>
      <c r="C355" s="620" t="s">
        <v>285</v>
      </c>
      <c r="D355" s="621">
        <v>7000</v>
      </c>
      <c r="E355" s="621">
        <v>325</v>
      </c>
      <c r="F355" s="622">
        <f t="shared" si="21"/>
        <v>4.642857142857143</v>
      </c>
      <c r="G355" s="613"/>
    </row>
    <row r="356" spans="1:7" s="623" customFormat="1" ht="18.75" customHeight="1">
      <c r="A356" s="1473"/>
      <c r="B356" s="619"/>
      <c r="C356" s="766" t="s">
        <v>286</v>
      </c>
      <c r="D356" s="621">
        <v>8000</v>
      </c>
      <c r="E356" s="621">
        <v>0</v>
      </c>
      <c r="F356" s="622">
        <f t="shared" si="21"/>
        <v>0</v>
      </c>
      <c r="G356" s="613"/>
    </row>
    <row r="357" spans="1:7" s="623" customFormat="1" ht="18.75" customHeight="1">
      <c r="A357" s="1473"/>
      <c r="B357" s="1467" t="s">
        <v>979</v>
      </c>
      <c r="C357" s="1474" t="s">
        <v>980</v>
      </c>
      <c r="D357" s="1475">
        <f aca="true" t="shared" si="22" ref="D357:E359">SUM(D358)</f>
        <v>45032</v>
      </c>
      <c r="E357" s="1475">
        <f t="shared" si="22"/>
        <v>0</v>
      </c>
      <c r="F357" s="1476">
        <f t="shared" si="21"/>
        <v>0</v>
      </c>
      <c r="G357" s="613"/>
    </row>
    <row r="358" spans="1:7" s="623" customFormat="1" ht="18.75" customHeight="1">
      <c r="A358" s="1473"/>
      <c r="B358" s="1477"/>
      <c r="C358" s="1478" t="s">
        <v>185</v>
      </c>
      <c r="D358" s="1479">
        <f t="shared" si="22"/>
        <v>45032</v>
      </c>
      <c r="E358" s="1479">
        <f t="shared" si="22"/>
        <v>0</v>
      </c>
      <c r="F358" s="1480">
        <f t="shared" si="21"/>
        <v>0</v>
      </c>
      <c r="G358" s="613"/>
    </row>
    <row r="359" spans="1:7" s="623" customFormat="1" ht="18.75" customHeight="1">
      <c r="A359" s="1473"/>
      <c r="B359" s="1481"/>
      <c r="C359" s="1482" t="s">
        <v>284</v>
      </c>
      <c r="D359" s="1483">
        <f t="shared" si="22"/>
        <v>45032</v>
      </c>
      <c r="E359" s="1483">
        <f t="shared" si="22"/>
        <v>0</v>
      </c>
      <c r="F359" s="1484">
        <f t="shared" si="21"/>
        <v>0</v>
      </c>
      <c r="G359" s="613"/>
    </row>
    <row r="360" spans="1:7" s="623" customFormat="1" ht="18.75" customHeight="1">
      <c r="A360" s="1473"/>
      <c r="B360" s="1485"/>
      <c r="C360" s="1486" t="s">
        <v>668</v>
      </c>
      <c r="D360" s="1487">
        <v>45032</v>
      </c>
      <c r="E360" s="1487">
        <v>0</v>
      </c>
      <c r="F360" s="1488">
        <f t="shared" si="21"/>
        <v>0</v>
      </c>
      <c r="G360" s="613"/>
    </row>
    <row r="361" spans="1:7" s="570" customFormat="1" ht="40.5" customHeight="1">
      <c r="A361" s="615"/>
      <c r="B361" s="565" t="s">
        <v>447</v>
      </c>
      <c r="C361" s="341" t="s">
        <v>1006</v>
      </c>
      <c r="D361" s="567">
        <f>SUM(D362)</f>
        <v>5710995</v>
      </c>
      <c r="E361" s="567">
        <f>SUM(E362)</f>
        <v>2858955.01</v>
      </c>
      <c r="F361" s="582">
        <f t="shared" si="20"/>
        <v>50.060541289214925</v>
      </c>
      <c r="G361" s="562"/>
    </row>
    <row r="362" spans="1:7" s="577" customFormat="1" ht="18.75" customHeight="1">
      <c r="A362" s="571"/>
      <c r="B362" s="572"/>
      <c r="C362" s="573" t="s">
        <v>185</v>
      </c>
      <c r="D362" s="574">
        <f>SUM(D363,D366,D367)</f>
        <v>5710995</v>
      </c>
      <c r="E362" s="574">
        <f>SUM(E363,E366,E367)</f>
        <v>2858955.01</v>
      </c>
      <c r="F362" s="575">
        <f t="shared" si="20"/>
        <v>50.060541289214925</v>
      </c>
      <c r="G362" s="576"/>
    </row>
    <row r="363" spans="1:7" s="584" customFormat="1" ht="18" customHeight="1">
      <c r="A363" s="578"/>
      <c r="B363" s="579"/>
      <c r="C363" s="580" t="s">
        <v>284</v>
      </c>
      <c r="D363" s="581">
        <f>SUM(D364,D365)</f>
        <v>349025</v>
      </c>
      <c r="E363" s="581">
        <f>SUM(E364,E365)</f>
        <v>159238.00999999998</v>
      </c>
      <c r="F363" s="582">
        <f t="shared" si="20"/>
        <v>45.62366879163383</v>
      </c>
      <c r="G363" s="583"/>
    </row>
    <row r="364" spans="1:7" s="776" customFormat="1" ht="18.75" customHeight="1">
      <c r="A364" s="770"/>
      <c r="B364" s="771"/>
      <c r="C364" s="772" t="s">
        <v>668</v>
      </c>
      <c r="D364" s="773">
        <v>312985</v>
      </c>
      <c r="E364" s="773">
        <v>147352.83</v>
      </c>
      <c r="F364" s="774">
        <f t="shared" si="20"/>
        <v>47.07983769190216</v>
      </c>
      <c r="G364" s="775"/>
    </row>
    <row r="365" spans="1:7" s="590" customFormat="1" ht="18.75" customHeight="1">
      <c r="A365" s="585"/>
      <c r="B365" s="586"/>
      <c r="C365" s="587" t="s">
        <v>285</v>
      </c>
      <c r="D365" s="588">
        <v>36040</v>
      </c>
      <c r="E365" s="588">
        <v>11885.18</v>
      </c>
      <c r="F365" s="589">
        <f t="shared" si="20"/>
        <v>32.97774694783574</v>
      </c>
      <c r="G365" s="583"/>
    </row>
    <row r="366" spans="1:7" s="757" customFormat="1" ht="18.75" customHeight="1">
      <c r="A366" s="765"/>
      <c r="B366" s="752"/>
      <c r="C366" s="766" t="s">
        <v>286</v>
      </c>
      <c r="D366" s="754">
        <v>66000</v>
      </c>
      <c r="E366" s="754">
        <v>0</v>
      </c>
      <c r="F366" s="755">
        <f t="shared" si="20"/>
        <v>0</v>
      </c>
      <c r="G366" s="767"/>
    </row>
    <row r="367" spans="1:7" s="584" customFormat="1" ht="18.75" customHeight="1">
      <c r="A367" s="617"/>
      <c r="B367" s="579"/>
      <c r="C367" s="625" t="s">
        <v>296</v>
      </c>
      <c r="D367" s="581">
        <v>5295970</v>
      </c>
      <c r="E367" s="581">
        <v>2699717</v>
      </c>
      <c r="F367" s="582">
        <f t="shared" si="20"/>
        <v>50.976818222157604</v>
      </c>
      <c r="G367" s="583"/>
    </row>
    <row r="368" spans="1:7" s="570" customFormat="1" ht="65.25" customHeight="1">
      <c r="A368" s="615"/>
      <c r="B368" s="630" t="s">
        <v>448</v>
      </c>
      <c r="C368" s="566" t="s">
        <v>181</v>
      </c>
      <c r="D368" s="567">
        <f>D369</f>
        <v>107000</v>
      </c>
      <c r="E368" s="567">
        <f>E369</f>
        <v>55539.71</v>
      </c>
      <c r="F368" s="568">
        <f t="shared" si="20"/>
        <v>51.90627102803739</v>
      </c>
      <c r="G368" s="562"/>
    </row>
    <row r="369" spans="1:7" s="577" customFormat="1" ht="18.75" customHeight="1">
      <c r="A369" s="571"/>
      <c r="B369" s="572"/>
      <c r="C369" s="573" t="s">
        <v>185</v>
      </c>
      <c r="D369" s="574">
        <f>SUM(D370,D372)</f>
        <v>107000</v>
      </c>
      <c r="E369" s="574">
        <f>SUM(E370,E372)</f>
        <v>55539.71</v>
      </c>
      <c r="F369" s="575">
        <f t="shared" si="20"/>
        <v>51.90627102803739</v>
      </c>
      <c r="G369" s="576"/>
    </row>
    <row r="370" spans="1:7" s="584" customFormat="1" ht="18" customHeight="1">
      <c r="A370" s="578"/>
      <c r="B370" s="579"/>
      <c r="C370" s="580" t="s">
        <v>284</v>
      </c>
      <c r="D370" s="581">
        <f>SUM(D371)</f>
        <v>106000</v>
      </c>
      <c r="E370" s="581">
        <f>SUM(E371)</f>
        <v>55539.71</v>
      </c>
      <c r="F370" s="582">
        <f t="shared" si="20"/>
        <v>52.395952830188676</v>
      </c>
      <c r="G370" s="583"/>
    </row>
    <row r="371" spans="1:7" s="776" customFormat="1" ht="18.75" customHeight="1">
      <c r="A371" s="770"/>
      <c r="B371" s="771"/>
      <c r="C371" s="772" t="s">
        <v>668</v>
      </c>
      <c r="D371" s="773">
        <v>106000</v>
      </c>
      <c r="E371" s="773">
        <v>55539.71</v>
      </c>
      <c r="F371" s="774">
        <f>E371/D371*100</f>
        <v>52.395952830188676</v>
      </c>
      <c r="G371" s="775"/>
    </row>
    <row r="372" spans="1:7" s="757" customFormat="1" ht="18.75" customHeight="1">
      <c r="A372" s="765"/>
      <c r="B372" s="752"/>
      <c r="C372" s="766" t="s">
        <v>286</v>
      </c>
      <c r="D372" s="754">
        <v>1000</v>
      </c>
      <c r="E372" s="754">
        <v>0</v>
      </c>
      <c r="F372" s="755">
        <f t="shared" si="20"/>
        <v>0</v>
      </c>
      <c r="G372" s="767"/>
    </row>
    <row r="373" spans="1:7" s="570" customFormat="1" ht="30" customHeight="1">
      <c r="A373" s="615"/>
      <c r="B373" s="630" t="s">
        <v>449</v>
      </c>
      <c r="C373" s="566" t="s">
        <v>637</v>
      </c>
      <c r="D373" s="567">
        <f>D374</f>
        <v>1323300</v>
      </c>
      <c r="E373" s="567">
        <f>E374</f>
        <v>764409.3200000001</v>
      </c>
      <c r="F373" s="568">
        <f t="shared" si="20"/>
        <v>57.765383510919676</v>
      </c>
      <c r="G373" s="562"/>
    </row>
    <row r="374" spans="1:7" s="577" customFormat="1" ht="18.75" customHeight="1">
      <c r="A374" s="571"/>
      <c r="B374" s="572"/>
      <c r="C374" s="573" t="s">
        <v>185</v>
      </c>
      <c r="D374" s="574">
        <f>SUM(D375,D378,D379,D380)</f>
        <v>1323300</v>
      </c>
      <c r="E374" s="574">
        <f>SUM(E375,E378,E379,E380)</f>
        <v>764409.3200000001</v>
      </c>
      <c r="F374" s="575">
        <f t="shared" si="20"/>
        <v>57.765383510919676</v>
      </c>
      <c r="G374" s="576"/>
    </row>
    <row r="375" spans="1:7" s="584" customFormat="1" ht="18" customHeight="1">
      <c r="A375" s="578"/>
      <c r="B375" s="579"/>
      <c r="C375" s="580" t="s">
        <v>284</v>
      </c>
      <c r="D375" s="581">
        <f>SUM(D376,D377)</f>
        <v>31000</v>
      </c>
      <c r="E375" s="581">
        <f>SUM(E376,E377)</f>
        <v>7506.03</v>
      </c>
      <c r="F375" s="582">
        <f t="shared" si="20"/>
        <v>24.212999999999997</v>
      </c>
      <c r="G375" s="583"/>
    </row>
    <row r="376" spans="1:7" s="776" customFormat="1" ht="18.75" customHeight="1">
      <c r="A376" s="770"/>
      <c r="B376" s="771"/>
      <c r="C376" s="772" t="s">
        <v>668</v>
      </c>
      <c r="D376" s="773">
        <v>1000</v>
      </c>
      <c r="E376" s="773">
        <v>0</v>
      </c>
      <c r="F376" s="774">
        <f t="shared" si="20"/>
        <v>0</v>
      </c>
      <c r="G376" s="775"/>
    </row>
    <row r="377" spans="1:7" s="590" customFormat="1" ht="18.75" customHeight="1">
      <c r="A377" s="585"/>
      <c r="B377" s="586"/>
      <c r="C377" s="587" t="s">
        <v>285</v>
      </c>
      <c r="D377" s="588">
        <v>30000</v>
      </c>
      <c r="E377" s="588">
        <v>7506.03</v>
      </c>
      <c r="F377" s="589">
        <f t="shared" si="20"/>
        <v>25.0201</v>
      </c>
      <c r="G377" s="583"/>
    </row>
    <row r="378" spans="1:7" s="757" customFormat="1" ht="18.75" customHeight="1">
      <c r="A378" s="765"/>
      <c r="B378" s="752"/>
      <c r="C378" s="766" t="s">
        <v>286</v>
      </c>
      <c r="D378" s="754">
        <v>5000</v>
      </c>
      <c r="E378" s="754">
        <v>0</v>
      </c>
      <c r="F378" s="755">
        <f t="shared" si="20"/>
        <v>0</v>
      </c>
      <c r="G378" s="767"/>
    </row>
    <row r="379" spans="1:7" s="584" customFormat="1" ht="18.75" customHeight="1">
      <c r="A379" s="617"/>
      <c r="B379" s="579"/>
      <c r="C379" s="625" t="s">
        <v>296</v>
      </c>
      <c r="D379" s="581">
        <v>1250500</v>
      </c>
      <c r="E379" s="581">
        <v>756903.29</v>
      </c>
      <c r="F379" s="582">
        <f t="shared" si="20"/>
        <v>60.52805197920832</v>
      </c>
      <c r="G379" s="583"/>
    </row>
    <row r="380" spans="1:7" s="1346" customFormat="1" ht="18.75" customHeight="1">
      <c r="A380" s="1340"/>
      <c r="B380" s="1341"/>
      <c r="C380" s="1342" t="s">
        <v>304</v>
      </c>
      <c r="D380" s="1343">
        <v>36800</v>
      </c>
      <c r="E380" s="1343">
        <v>0</v>
      </c>
      <c r="F380" s="1344">
        <f>E380/D380*100</f>
        <v>0</v>
      </c>
      <c r="G380" s="1345"/>
    </row>
    <row r="381" spans="1:7" s="570" customFormat="1" ht="18.75" customHeight="1">
      <c r="A381" s="615"/>
      <c r="B381" s="565" t="s">
        <v>450</v>
      </c>
      <c r="C381" s="597" t="s">
        <v>1477</v>
      </c>
      <c r="D381" s="567">
        <f>D383</f>
        <v>1096000</v>
      </c>
      <c r="E381" s="567">
        <f>E383</f>
        <v>567083.58</v>
      </c>
      <c r="F381" s="568">
        <f t="shared" si="20"/>
        <v>51.741202554744525</v>
      </c>
      <c r="G381" s="562"/>
    </row>
    <row r="382" spans="1:7" s="577" customFormat="1" ht="18.75" customHeight="1">
      <c r="A382" s="571"/>
      <c r="B382" s="572"/>
      <c r="C382" s="573" t="s">
        <v>185</v>
      </c>
      <c r="D382" s="574">
        <f>SUM(D383)</f>
        <v>1096000</v>
      </c>
      <c r="E382" s="574">
        <f>SUM(E383)</f>
        <v>567083.58</v>
      </c>
      <c r="F382" s="575">
        <f t="shared" si="20"/>
        <v>51.741202554744525</v>
      </c>
      <c r="G382" s="576"/>
    </row>
    <row r="383" spans="1:7" s="584" customFormat="1" ht="18.75" customHeight="1">
      <c r="A383" s="617"/>
      <c r="B383" s="579"/>
      <c r="C383" s="625" t="s">
        <v>296</v>
      </c>
      <c r="D383" s="581">
        <v>1096000</v>
      </c>
      <c r="E383" s="581">
        <v>567083.58</v>
      </c>
      <c r="F383" s="582">
        <f t="shared" si="20"/>
        <v>51.741202554744525</v>
      </c>
      <c r="G383" s="583"/>
    </row>
    <row r="384" spans="1:7" s="570" customFormat="1" ht="18.75" customHeight="1">
      <c r="A384" s="615"/>
      <c r="B384" s="565" t="s">
        <v>420</v>
      </c>
      <c r="C384" s="597" t="s">
        <v>693</v>
      </c>
      <c r="D384" s="567">
        <f>SUM(D385)</f>
        <v>769000</v>
      </c>
      <c r="E384" s="567">
        <f>SUM(E385)</f>
        <v>475091.8</v>
      </c>
      <c r="F384" s="568">
        <f t="shared" si="20"/>
        <v>61.78046814044214</v>
      </c>
      <c r="G384" s="562"/>
    </row>
    <row r="385" spans="1:7" s="577" customFormat="1" ht="18.75" customHeight="1">
      <c r="A385" s="571"/>
      <c r="B385" s="572"/>
      <c r="C385" s="573" t="s">
        <v>185</v>
      </c>
      <c r="D385" s="574">
        <f>SUM(D386,D387)</f>
        <v>769000</v>
      </c>
      <c r="E385" s="574">
        <f>SUM(E386,E387)</f>
        <v>475091.8</v>
      </c>
      <c r="F385" s="575">
        <f aca="true" t="shared" si="23" ref="F385:F403">E385/D385*100</f>
        <v>61.78046814044214</v>
      </c>
      <c r="G385" s="576"/>
    </row>
    <row r="386" spans="1:7" s="757" customFormat="1" ht="18.75" customHeight="1">
      <c r="A386" s="765"/>
      <c r="B386" s="752"/>
      <c r="C386" s="768" t="s">
        <v>286</v>
      </c>
      <c r="D386" s="754">
        <v>10000</v>
      </c>
      <c r="E386" s="754">
        <v>0</v>
      </c>
      <c r="F386" s="755">
        <f t="shared" si="23"/>
        <v>0</v>
      </c>
      <c r="G386" s="767"/>
    </row>
    <row r="387" spans="1:7" s="584" customFormat="1" ht="18.75" customHeight="1">
      <c r="A387" s="617"/>
      <c r="B387" s="579"/>
      <c r="C387" s="625" t="s">
        <v>296</v>
      </c>
      <c r="D387" s="581">
        <v>759000</v>
      </c>
      <c r="E387" s="581">
        <v>475091.8</v>
      </c>
      <c r="F387" s="582">
        <f t="shared" si="23"/>
        <v>62.59444005270092</v>
      </c>
      <c r="G387" s="583"/>
    </row>
    <row r="388" spans="1:7" s="584" customFormat="1" ht="18.75" customHeight="1">
      <c r="A388" s="615"/>
      <c r="B388" s="565" t="s">
        <v>451</v>
      </c>
      <c r="C388" s="566" t="s">
        <v>1478</v>
      </c>
      <c r="D388" s="567">
        <f>SUM(D389,D394)</f>
        <v>2126900</v>
      </c>
      <c r="E388" s="567">
        <f>SUM(E389,E394)</f>
        <v>1127403.0699999998</v>
      </c>
      <c r="F388" s="568">
        <f t="shared" si="23"/>
        <v>53.006867741783815</v>
      </c>
      <c r="G388" s="583"/>
    </row>
    <row r="389" spans="1:7" s="577" customFormat="1" ht="18.75" customHeight="1">
      <c r="A389" s="571"/>
      <c r="B389" s="572"/>
      <c r="C389" s="573" t="s">
        <v>185</v>
      </c>
      <c r="D389" s="574">
        <f>SUM(D390,D393)</f>
        <v>2003900</v>
      </c>
      <c r="E389" s="574">
        <f>SUM(E390,E393)</f>
        <v>1127403.0699999998</v>
      </c>
      <c r="F389" s="575">
        <f t="shared" si="23"/>
        <v>56.26044563101951</v>
      </c>
      <c r="G389" s="576"/>
    </row>
    <row r="390" spans="1:7" s="584" customFormat="1" ht="18" customHeight="1">
      <c r="A390" s="578"/>
      <c r="B390" s="579"/>
      <c r="C390" s="580" t="s">
        <v>284</v>
      </c>
      <c r="D390" s="581">
        <f>SUM(D391,D392)</f>
        <v>1989500</v>
      </c>
      <c r="E390" s="581">
        <f>SUM(E391,E392)</f>
        <v>1118497.13</v>
      </c>
      <c r="F390" s="582">
        <f t="shared" si="23"/>
        <v>56.22001156069364</v>
      </c>
      <c r="G390" s="583"/>
    </row>
    <row r="391" spans="1:7" s="779" customFormat="1" ht="18" customHeight="1">
      <c r="A391" s="777"/>
      <c r="B391" s="778"/>
      <c r="C391" s="772" t="s">
        <v>668</v>
      </c>
      <c r="D391" s="773">
        <v>1586754</v>
      </c>
      <c r="E391" s="773">
        <v>922855.5</v>
      </c>
      <c r="F391" s="774">
        <f t="shared" si="23"/>
        <v>58.15996052318128</v>
      </c>
      <c r="G391" s="775"/>
    </row>
    <row r="392" spans="1:7" s="590" customFormat="1" ht="18.75" customHeight="1">
      <c r="A392" s="585"/>
      <c r="B392" s="586"/>
      <c r="C392" s="587" t="s">
        <v>285</v>
      </c>
      <c r="D392" s="588">
        <v>402746</v>
      </c>
      <c r="E392" s="588">
        <v>195641.63</v>
      </c>
      <c r="F392" s="589">
        <f t="shared" si="23"/>
        <v>48.57692689685311</v>
      </c>
      <c r="G392" s="583"/>
    </row>
    <row r="393" spans="1:7" s="584" customFormat="1" ht="18.75" customHeight="1">
      <c r="A393" s="617"/>
      <c r="B393" s="579"/>
      <c r="C393" s="667" t="s">
        <v>296</v>
      </c>
      <c r="D393" s="581">
        <v>14400</v>
      </c>
      <c r="E393" s="581">
        <v>8905.94</v>
      </c>
      <c r="F393" s="582">
        <f t="shared" si="23"/>
        <v>61.84680555555556</v>
      </c>
      <c r="G393" s="583"/>
    </row>
    <row r="394" spans="1:7" s="577" customFormat="1" ht="18.75" customHeight="1">
      <c r="A394" s="571"/>
      <c r="B394" s="572"/>
      <c r="C394" s="573" t="s">
        <v>287</v>
      </c>
      <c r="D394" s="574">
        <f>SUM(D395)</f>
        <v>123000</v>
      </c>
      <c r="E394" s="574">
        <f>SUM(E395)</f>
        <v>0</v>
      </c>
      <c r="F394" s="575">
        <f t="shared" si="23"/>
        <v>0</v>
      </c>
      <c r="G394" s="576"/>
    </row>
    <row r="395" spans="1:7" s="584" customFormat="1" ht="29.25" customHeight="1">
      <c r="A395" s="578"/>
      <c r="B395" s="579"/>
      <c r="C395" s="580" t="s">
        <v>1367</v>
      </c>
      <c r="D395" s="581">
        <v>123000</v>
      </c>
      <c r="E395" s="581">
        <v>0</v>
      </c>
      <c r="F395" s="582">
        <f t="shared" si="23"/>
        <v>0</v>
      </c>
      <c r="G395" s="583"/>
    </row>
    <row r="396" spans="1:8" s="626" customFormat="1" ht="27" customHeight="1">
      <c r="A396" s="615"/>
      <c r="B396" s="565" t="s">
        <v>453</v>
      </c>
      <c r="C396" s="566" t="s">
        <v>1481</v>
      </c>
      <c r="D396" s="567">
        <f>D397</f>
        <v>930800</v>
      </c>
      <c r="E396" s="567">
        <f>E397</f>
        <v>450377.83999999997</v>
      </c>
      <c r="F396" s="568">
        <f t="shared" si="23"/>
        <v>48.386102277610654</v>
      </c>
      <c r="G396" s="583"/>
      <c r="H396" s="584"/>
    </row>
    <row r="397" spans="1:7" s="577" customFormat="1" ht="18.75" customHeight="1">
      <c r="A397" s="571"/>
      <c r="B397" s="572"/>
      <c r="C397" s="573" t="s">
        <v>185</v>
      </c>
      <c r="D397" s="574">
        <f>SUM(D398,D401)</f>
        <v>930800</v>
      </c>
      <c r="E397" s="574">
        <f>SUM(E398,E401)</f>
        <v>450377.83999999997</v>
      </c>
      <c r="F397" s="575">
        <f t="shared" si="23"/>
        <v>48.386102277610654</v>
      </c>
      <c r="G397" s="576"/>
    </row>
    <row r="398" spans="1:7" s="584" customFormat="1" ht="18" customHeight="1">
      <c r="A398" s="578"/>
      <c r="B398" s="579"/>
      <c r="C398" s="580" t="s">
        <v>284</v>
      </c>
      <c r="D398" s="581">
        <f>SUM(D400,D399)</f>
        <v>917900</v>
      </c>
      <c r="E398" s="581">
        <f>SUM(E400,E399)</f>
        <v>439285.22</v>
      </c>
      <c r="F398" s="582">
        <f t="shared" si="23"/>
        <v>47.8576337291644</v>
      </c>
      <c r="G398" s="583"/>
    </row>
    <row r="399" spans="1:7" s="776" customFormat="1" ht="18.75" customHeight="1">
      <c r="A399" s="770"/>
      <c r="B399" s="771"/>
      <c r="C399" s="772" t="s">
        <v>668</v>
      </c>
      <c r="D399" s="773">
        <v>848918</v>
      </c>
      <c r="E399" s="773">
        <v>400539.92</v>
      </c>
      <c r="F399" s="774">
        <f t="shared" si="23"/>
        <v>47.182403954209946</v>
      </c>
      <c r="G399" s="775"/>
    </row>
    <row r="400" spans="1:7" s="590" customFormat="1" ht="18.75" customHeight="1">
      <c r="A400" s="585"/>
      <c r="B400" s="586"/>
      <c r="C400" s="587" t="s">
        <v>285</v>
      </c>
      <c r="D400" s="588">
        <v>68982</v>
      </c>
      <c r="E400" s="588">
        <v>38745.3</v>
      </c>
      <c r="F400" s="589">
        <f t="shared" si="23"/>
        <v>56.16726102461512</v>
      </c>
      <c r="G400" s="583"/>
    </row>
    <row r="401" spans="1:7" s="584" customFormat="1" ht="18.75" customHeight="1">
      <c r="A401" s="617"/>
      <c r="B401" s="579"/>
      <c r="C401" s="667" t="s">
        <v>296</v>
      </c>
      <c r="D401" s="581">
        <v>12900</v>
      </c>
      <c r="E401" s="581">
        <v>11092.62</v>
      </c>
      <c r="F401" s="582">
        <f t="shared" si="23"/>
        <v>85.9893023255814</v>
      </c>
      <c r="G401" s="583"/>
    </row>
    <row r="402" spans="1:7" s="65" customFormat="1" ht="18.75" customHeight="1" hidden="1">
      <c r="A402" s="75"/>
      <c r="B402" s="52" t="s">
        <v>1241</v>
      </c>
      <c r="C402" s="73" t="s">
        <v>688</v>
      </c>
      <c r="D402" s="25">
        <f>SUM(D403)</f>
        <v>0</v>
      </c>
      <c r="E402" s="25">
        <f>SUM(E403)</f>
        <v>0</v>
      </c>
      <c r="F402" s="53" t="e">
        <f t="shared" si="23"/>
        <v>#DIV/0!</v>
      </c>
      <c r="G402" s="64"/>
    </row>
    <row r="403" spans="1:7" s="60" customFormat="1" ht="18.75" customHeight="1" hidden="1">
      <c r="A403" s="54"/>
      <c r="B403" s="55"/>
      <c r="C403" s="56" t="s">
        <v>185</v>
      </c>
      <c r="D403" s="57">
        <f>SUM(D404)</f>
        <v>0</v>
      </c>
      <c r="E403" s="57">
        <f>SUM(E404)</f>
        <v>0</v>
      </c>
      <c r="F403" s="58" t="e">
        <f t="shared" si="23"/>
        <v>#DIV/0!</v>
      </c>
      <c r="G403" s="59"/>
    </row>
    <row r="404" spans="1:7" s="65" customFormat="1" ht="18.75" customHeight="1" hidden="1">
      <c r="A404" s="74"/>
      <c r="B404" s="62"/>
      <c r="C404" s="81" t="s">
        <v>296</v>
      </c>
      <c r="D404" s="27">
        <v>0</v>
      </c>
      <c r="E404" s="27">
        <v>0</v>
      </c>
      <c r="F404" s="63" t="e">
        <f>E404/D404*100</f>
        <v>#DIV/0!</v>
      </c>
      <c r="G404" s="64"/>
    </row>
    <row r="405" spans="1:7" s="584" customFormat="1" ht="18.75" customHeight="1">
      <c r="A405" s="615"/>
      <c r="B405" s="565" t="s">
        <v>455</v>
      </c>
      <c r="C405" s="597" t="s">
        <v>1358</v>
      </c>
      <c r="D405" s="567">
        <f>SUM(D406,D411)</f>
        <v>642562</v>
      </c>
      <c r="E405" s="567">
        <f>SUM(E406,E411)</f>
        <v>367506.78</v>
      </c>
      <c r="F405" s="568">
        <f aca="true" t="shared" si="24" ref="F405:F415">E405/D405*100</f>
        <v>57.19397972491371</v>
      </c>
      <c r="G405" s="583"/>
    </row>
    <row r="406" spans="1:7" s="577" customFormat="1" ht="18.75" customHeight="1">
      <c r="A406" s="571"/>
      <c r="B406" s="572"/>
      <c r="C406" s="573" t="s">
        <v>185</v>
      </c>
      <c r="D406" s="574">
        <f>SUM(D407,D410)</f>
        <v>492562</v>
      </c>
      <c r="E406" s="574">
        <f>SUM(E407,E410)</f>
        <v>367506.78</v>
      </c>
      <c r="F406" s="575">
        <f t="shared" si="24"/>
        <v>74.61127330163512</v>
      </c>
      <c r="G406" s="576"/>
    </row>
    <row r="407" spans="1:7" s="584" customFormat="1" ht="18" customHeight="1">
      <c r="A407" s="578"/>
      <c r="B407" s="579"/>
      <c r="C407" s="580" t="s">
        <v>284</v>
      </c>
      <c r="D407" s="581">
        <f>SUM(D409,D408)</f>
        <v>3187</v>
      </c>
      <c r="E407" s="581">
        <f>SUM(E409,E408)</f>
        <v>0</v>
      </c>
      <c r="F407" s="582">
        <f aca="true" t="shared" si="25" ref="F407:F412">E407/D407*100</f>
        <v>0</v>
      </c>
      <c r="G407" s="583"/>
    </row>
    <row r="408" spans="1:7" s="590" customFormat="1" ht="18.75" customHeight="1">
      <c r="A408" s="585"/>
      <c r="B408" s="586"/>
      <c r="C408" s="772" t="s">
        <v>668</v>
      </c>
      <c r="D408" s="773">
        <v>3187</v>
      </c>
      <c r="E408" s="773">
        <v>0</v>
      </c>
      <c r="F408" s="774">
        <f t="shared" si="25"/>
        <v>0</v>
      </c>
      <c r="G408" s="583"/>
    </row>
    <row r="409" spans="1:7" s="590" customFormat="1" ht="18.75" customHeight="1" hidden="1">
      <c r="A409" s="585"/>
      <c r="B409" s="586"/>
      <c r="C409" s="587" t="s">
        <v>285</v>
      </c>
      <c r="D409" s="588">
        <v>0</v>
      </c>
      <c r="E409" s="588">
        <v>0</v>
      </c>
      <c r="F409" s="589" t="e">
        <f t="shared" si="25"/>
        <v>#DIV/0!</v>
      </c>
      <c r="G409" s="583"/>
    </row>
    <row r="410" spans="1:7" s="584" customFormat="1" ht="18.75" customHeight="1">
      <c r="A410" s="617"/>
      <c r="B410" s="579"/>
      <c r="C410" s="667" t="s">
        <v>296</v>
      </c>
      <c r="D410" s="581">
        <v>489375</v>
      </c>
      <c r="E410" s="581">
        <v>367506.78</v>
      </c>
      <c r="F410" s="582">
        <f t="shared" si="25"/>
        <v>75.09717088122606</v>
      </c>
      <c r="G410" s="583"/>
    </row>
    <row r="411" spans="1:7" s="584" customFormat="1" ht="18.75" customHeight="1">
      <c r="A411" s="617"/>
      <c r="B411" s="579"/>
      <c r="C411" s="573" t="s">
        <v>287</v>
      </c>
      <c r="D411" s="574">
        <f>SUM(D412)</f>
        <v>150000</v>
      </c>
      <c r="E411" s="574">
        <f>SUM(E412)</f>
        <v>0</v>
      </c>
      <c r="F411" s="582">
        <f t="shared" si="25"/>
        <v>0</v>
      </c>
      <c r="G411" s="583"/>
    </row>
    <row r="412" spans="1:7" s="584" customFormat="1" ht="25.5" customHeight="1">
      <c r="A412" s="617"/>
      <c r="B412" s="579"/>
      <c r="C412" s="610" t="s">
        <v>1367</v>
      </c>
      <c r="D412" s="611">
        <v>150000</v>
      </c>
      <c r="E412" s="611">
        <v>0</v>
      </c>
      <c r="F412" s="612">
        <f t="shared" si="25"/>
        <v>0</v>
      </c>
      <c r="G412" s="583"/>
    </row>
    <row r="413" spans="1:7" s="584" customFormat="1" ht="27" customHeight="1">
      <c r="A413" s="616" t="s">
        <v>1472</v>
      </c>
      <c r="B413" s="558"/>
      <c r="C413" s="559" t="s">
        <v>746</v>
      </c>
      <c r="D413" s="560">
        <f>SUM(D414,D423)</f>
        <v>3293200</v>
      </c>
      <c r="E413" s="560">
        <f>SUM(E414,E423)</f>
        <v>1403736.28</v>
      </c>
      <c r="F413" s="561">
        <f t="shared" si="24"/>
        <v>42.62529697558606</v>
      </c>
      <c r="G413" s="583"/>
    </row>
    <row r="414" spans="1:8" s="626" customFormat="1" ht="18.75" customHeight="1">
      <c r="A414" s="615"/>
      <c r="B414" s="565" t="s">
        <v>1473</v>
      </c>
      <c r="C414" s="566" t="s">
        <v>747</v>
      </c>
      <c r="D414" s="567">
        <f>SUM(D415,D421)</f>
        <v>2182400</v>
      </c>
      <c r="E414" s="567">
        <f>SUM(E415,E421)</f>
        <v>984764.53</v>
      </c>
      <c r="F414" s="568">
        <f t="shared" si="24"/>
        <v>45.12300815615836</v>
      </c>
      <c r="G414" s="583"/>
      <c r="H414" s="584"/>
    </row>
    <row r="415" spans="1:7" s="577" customFormat="1" ht="18.75" customHeight="1">
      <c r="A415" s="571"/>
      <c r="B415" s="572"/>
      <c r="C415" s="573" t="s">
        <v>185</v>
      </c>
      <c r="D415" s="574">
        <f>SUM(D416,D419,D420)</f>
        <v>1882400</v>
      </c>
      <c r="E415" s="574">
        <f>SUM(E416,E419,E420)</f>
        <v>982673.53</v>
      </c>
      <c r="F415" s="575">
        <f t="shared" si="24"/>
        <v>52.20322620059499</v>
      </c>
      <c r="G415" s="576"/>
    </row>
    <row r="416" spans="1:7" s="584" customFormat="1" ht="18" customHeight="1">
      <c r="A416" s="578"/>
      <c r="B416" s="579"/>
      <c r="C416" s="580" t="s">
        <v>284</v>
      </c>
      <c r="D416" s="581">
        <f>SUM(D417,D418)</f>
        <v>1830400</v>
      </c>
      <c r="E416" s="581">
        <f>SUM(E417,E418)</f>
        <v>960156.53</v>
      </c>
      <c r="F416" s="582">
        <f aca="true" t="shared" si="26" ref="F416:F461">E416/D416*100</f>
        <v>52.45610413024475</v>
      </c>
      <c r="G416" s="583"/>
    </row>
    <row r="417" spans="1:7" s="776" customFormat="1" ht="18.75" customHeight="1">
      <c r="A417" s="770"/>
      <c r="B417" s="771"/>
      <c r="C417" s="772" t="s">
        <v>668</v>
      </c>
      <c r="D417" s="773">
        <v>1405606</v>
      </c>
      <c r="E417" s="773">
        <v>723263.1</v>
      </c>
      <c r="F417" s="774">
        <f t="shared" si="26"/>
        <v>51.455607047778685</v>
      </c>
      <c r="G417" s="775"/>
    </row>
    <row r="418" spans="1:7" s="590" customFormat="1" ht="18.75" customHeight="1">
      <c r="A418" s="585"/>
      <c r="B418" s="586"/>
      <c r="C418" s="587" t="s">
        <v>285</v>
      </c>
      <c r="D418" s="588">
        <v>424794</v>
      </c>
      <c r="E418" s="588">
        <v>236893.43</v>
      </c>
      <c r="F418" s="589">
        <f t="shared" si="26"/>
        <v>55.76666101686936</v>
      </c>
      <c r="G418" s="583"/>
    </row>
    <row r="419" spans="1:7" s="584" customFormat="1" ht="18.75" customHeight="1">
      <c r="A419" s="617"/>
      <c r="B419" s="579"/>
      <c r="C419" s="667" t="s">
        <v>296</v>
      </c>
      <c r="D419" s="581">
        <v>4000</v>
      </c>
      <c r="E419" s="581">
        <v>117</v>
      </c>
      <c r="F419" s="582">
        <f>E419/D419*100</f>
        <v>2.9250000000000003</v>
      </c>
      <c r="G419" s="583"/>
    </row>
    <row r="420" spans="1:7" s="757" customFormat="1" ht="18.75" customHeight="1">
      <c r="A420" s="765"/>
      <c r="B420" s="752"/>
      <c r="C420" s="766" t="s">
        <v>286</v>
      </c>
      <c r="D420" s="754">
        <v>48000</v>
      </c>
      <c r="E420" s="754">
        <v>22400</v>
      </c>
      <c r="F420" s="755">
        <f>E420/D420*100</f>
        <v>46.666666666666664</v>
      </c>
      <c r="G420" s="767"/>
    </row>
    <row r="421" spans="1:7" s="60" customFormat="1" ht="18.75" customHeight="1">
      <c r="A421" s="54"/>
      <c r="B421" s="55"/>
      <c r="C421" s="56" t="s">
        <v>287</v>
      </c>
      <c r="D421" s="57">
        <f>SUM(D422)</f>
        <v>300000</v>
      </c>
      <c r="E421" s="57">
        <f>SUM(E422)</f>
        <v>2091</v>
      </c>
      <c r="F421" s="58">
        <f t="shared" si="26"/>
        <v>0.697</v>
      </c>
      <c r="G421" s="59"/>
    </row>
    <row r="422" spans="1:7" s="65" customFormat="1" ht="26.25" customHeight="1">
      <c r="A422" s="61"/>
      <c r="B422" s="62"/>
      <c r="C422" s="26" t="s">
        <v>1367</v>
      </c>
      <c r="D422" s="27">
        <v>300000</v>
      </c>
      <c r="E422" s="27">
        <v>2091</v>
      </c>
      <c r="F422" s="63">
        <f t="shared" si="26"/>
        <v>0.697</v>
      </c>
      <c r="G422" s="64"/>
    </row>
    <row r="423" spans="1:7" s="584" customFormat="1" ht="18.75" customHeight="1">
      <c r="A423" s="615"/>
      <c r="B423" s="565" t="s">
        <v>750</v>
      </c>
      <c r="C423" s="566" t="s">
        <v>1358</v>
      </c>
      <c r="D423" s="567">
        <f>SUM(D424,D430)</f>
        <v>1110800</v>
      </c>
      <c r="E423" s="567">
        <f>SUM(E424,E430)</f>
        <v>418971.75</v>
      </c>
      <c r="F423" s="568">
        <f t="shared" si="26"/>
        <v>37.718018545192656</v>
      </c>
      <c r="G423" s="583"/>
    </row>
    <row r="424" spans="1:7" s="577" customFormat="1" ht="18.75" customHeight="1">
      <c r="A424" s="571"/>
      <c r="B424" s="572"/>
      <c r="C424" s="573" t="s">
        <v>185</v>
      </c>
      <c r="D424" s="574">
        <f>SUM(D425,D428,D429)</f>
        <v>1110800</v>
      </c>
      <c r="E424" s="574">
        <f>SUM(E425,E428,E429)</f>
        <v>418971.75</v>
      </c>
      <c r="F424" s="575">
        <f t="shared" si="26"/>
        <v>37.718018545192656</v>
      </c>
      <c r="G424" s="576"/>
    </row>
    <row r="425" spans="1:7" s="584" customFormat="1" ht="18" customHeight="1">
      <c r="A425" s="578"/>
      <c r="B425" s="579"/>
      <c r="C425" s="580" t="s">
        <v>284</v>
      </c>
      <c r="D425" s="581">
        <f>SUM(D427,D426)</f>
        <v>30700</v>
      </c>
      <c r="E425" s="581">
        <f>SUM(E427,E426)</f>
        <v>2209.55</v>
      </c>
      <c r="F425" s="582">
        <f t="shared" si="26"/>
        <v>7.197231270358307</v>
      </c>
      <c r="G425" s="583"/>
    </row>
    <row r="426" spans="1:7" s="776" customFormat="1" ht="18.75" customHeight="1" hidden="1">
      <c r="A426" s="770"/>
      <c r="B426" s="771"/>
      <c r="C426" s="772" t="s">
        <v>668</v>
      </c>
      <c r="D426" s="773">
        <v>0</v>
      </c>
      <c r="E426" s="773">
        <v>0</v>
      </c>
      <c r="F426" s="774" t="e">
        <f t="shared" si="26"/>
        <v>#DIV/0!</v>
      </c>
      <c r="G426" s="775"/>
    </row>
    <row r="427" spans="1:7" s="590" customFormat="1" ht="18.75" customHeight="1">
      <c r="A427" s="585"/>
      <c r="B427" s="586"/>
      <c r="C427" s="587" t="s">
        <v>285</v>
      </c>
      <c r="D427" s="588">
        <v>30700</v>
      </c>
      <c r="E427" s="588">
        <v>2209.55</v>
      </c>
      <c r="F427" s="589">
        <f t="shared" si="26"/>
        <v>7.197231270358307</v>
      </c>
      <c r="G427" s="583"/>
    </row>
    <row r="428" spans="1:7" s="757" customFormat="1" ht="18.75" customHeight="1">
      <c r="A428" s="765"/>
      <c r="B428" s="752"/>
      <c r="C428" s="766" t="s">
        <v>286</v>
      </c>
      <c r="D428" s="754">
        <v>748900</v>
      </c>
      <c r="E428" s="754">
        <v>359956</v>
      </c>
      <c r="F428" s="755">
        <f t="shared" si="26"/>
        <v>48.06462812124449</v>
      </c>
      <c r="G428" s="767"/>
    </row>
    <row r="429" spans="1:7" s="65" customFormat="1" ht="18.75" customHeight="1">
      <c r="A429" s="74"/>
      <c r="B429" s="62"/>
      <c r="C429" s="81" t="s">
        <v>304</v>
      </c>
      <c r="D429" s="27">
        <v>331200</v>
      </c>
      <c r="E429" s="27">
        <v>56806.2</v>
      </c>
      <c r="F429" s="63">
        <f>E429/D429*100</f>
        <v>17.151630434782607</v>
      </c>
      <c r="G429" s="64"/>
    </row>
    <row r="430" spans="1:7" s="577" customFormat="1" ht="18.75" customHeight="1" hidden="1">
      <c r="A430" s="571"/>
      <c r="B430" s="572"/>
      <c r="C430" s="573" t="s">
        <v>287</v>
      </c>
      <c r="D430" s="574">
        <f>SUM(D431,D432)</f>
        <v>0</v>
      </c>
      <c r="E430" s="574">
        <f>SUM(E431,E432)</f>
        <v>0</v>
      </c>
      <c r="F430" s="575" t="e">
        <f>E430/D430*100</f>
        <v>#DIV/0!</v>
      </c>
      <c r="G430" s="576"/>
    </row>
    <row r="431" spans="1:7" s="584" customFormat="1" ht="26.25" customHeight="1" hidden="1">
      <c r="A431" s="578"/>
      <c r="B431" s="579"/>
      <c r="C431" s="580" t="s">
        <v>1367</v>
      </c>
      <c r="D431" s="581">
        <v>0</v>
      </c>
      <c r="E431" s="581">
        <v>0</v>
      </c>
      <c r="F431" s="582" t="e">
        <f>E431/D431*100</f>
        <v>#DIV/0!</v>
      </c>
      <c r="G431" s="583"/>
    </row>
    <row r="432" spans="1:7" s="65" customFormat="1" ht="18.75" customHeight="1" hidden="1">
      <c r="A432" s="74"/>
      <c r="B432" s="62"/>
      <c r="C432" s="81" t="s">
        <v>304</v>
      </c>
      <c r="D432" s="27">
        <v>0</v>
      </c>
      <c r="E432" s="27">
        <v>0</v>
      </c>
      <c r="F432" s="63" t="e">
        <f>E432/D432*100</f>
        <v>#DIV/0!</v>
      </c>
      <c r="G432" s="64" t="s">
        <v>874</v>
      </c>
    </row>
    <row r="433" spans="1:7" s="584" customFormat="1" ht="24" customHeight="1">
      <c r="A433" s="616" t="s">
        <v>1482</v>
      </c>
      <c r="B433" s="558"/>
      <c r="C433" s="559" t="s">
        <v>1485</v>
      </c>
      <c r="D433" s="560">
        <f>SUM(D434,D440,D444,D452,D458,D462)</f>
        <v>1233152</v>
      </c>
      <c r="E433" s="560">
        <f>SUM(E434,E440,E444,E452,E458,E462)</f>
        <v>496231.80000000005</v>
      </c>
      <c r="F433" s="561">
        <f t="shared" si="26"/>
        <v>40.24092731471871</v>
      </c>
      <c r="G433" s="583"/>
    </row>
    <row r="434" spans="1:7" s="584" customFormat="1" ht="18.75" customHeight="1">
      <c r="A434" s="615"/>
      <c r="B434" s="565" t="s">
        <v>751</v>
      </c>
      <c r="C434" s="566" t="s">
        <v>752</v>
      </c>
      <c r="D434" s="567">
        <f>SUM(D435)</f>
        <v>748523</v>
      </c>
      <c r="E434" s="567">
        <f>SUM(E435)</f>
        <v>388800.95</v>
      </c>
      <c r="F434" s="568">
        <f t="shared" si="26"/>
        <v>51.94241860303558</v>
      </c>
      <c r="G434" s="583"/>
    </row>
    <row r="435" spans="1:7" s="577" customFormat="1" ht="18.75" customHeight="1">
      <c r="A435" s="571"/>
      <c r="B435" s="572"/>
      <c r="C435" s="573" t="s">
        <v>185</v>
      </c>
      <c r="D435" s="574">
        <f>SUM(D436,D439)</f>
        <v>748523</v>
      </c>
      <c r="E435" s="574">
        <f>SUM(E436,E439)</f>
        <v>388800.95</v>
      </c>
      <c r="F435" s="575">
        <f t="shared" si="26"/>
        <v>51.94241860303558</v>
      </c>
      <c r="G435" s="576"/>
    </row>
    <row r="436" spans="1:7" s="584" customFormat="1" ht="18" customHeight="1">
      <c r="A436" s="578"/>
      <c r="B436" s="579"/>
      <c r="C436" s="580" t="s">
        <v>284</v>
      </c>
      <c r="D436" s="581">
        <f>SUM(D438,D437)</f>
        <v>746192</v>
      </c>
      <c r="E436" s="581">
        <f>SUM(E438,E437)</f>
        <v>387176.56</v>
      </c>
      <c r="F436" s="582">
        <f t="shared" si="26"/>
        <v>51.886988871496875</v>
      </c>
      <c r="G436" s="583"/>
    </row>
    <row r="437" spans="1:7" s="776" customFormat="1" ht="18.75" customHeight="1">
      <c r="A437" s="770"/>
      <c r="B437" s="771"/>
      <c r="C437" s="772" t="s">
        <v>668</v>
      </c>
      <c r="D437" s="773">
        <v>647849</v>
      </c>
      <c r="E437" s="773">
        <v>332491.05</v>
      </c>
      <c r="F437" s="774">
        <f t="shared" si="26"/>
        <v>51.32230658687441</v>
      </c>
      <c r="G437" s="775"/>
    </row>
    <row r="438" spans="1:7" s="590" customFormat="1" ht="18.75" customHeight="1">
      <c r="A438" s="585"/>
      <c r="B438" s="586"/>
      <c r="C438" s="587" t="s">
        <v>285</v>
      </c>
      <c r="D438" s="588">
        <v>98343</v>
      </c>
      <c r="E438" s="588">
        <v>54685.51</v>
      </c>
      <c r="F438" s="589">
        <f t="shared" si="26"/>
        <v>55.60691660819784</v>
      </c>
      <c r="G438" s="583"/>
    </row>
    <row r="439" spans="1:7" s="65" customFormat="1" ht="18.75" customHeight="1">
      <c r="A439" s="74"/>
      <c r="B439" s="62"/>
      <c r="C439" s="81" t="s">
        <v>296</v>
      </c>
      <c r="D439" s="27">
        <v>2331</v>
      </c>
      <c r="E439" s="27">
        <v>1624.39</v>
      </c>
      <c r="F439" s="63">
        <f>E439/D439*100</f>
        <v>69.6864006864007</v>
      </c>
      <c r="G439" s="64"/>
    </row>
    <row r="440" spans="1:7" s="65" customFormat="1" ht="18.75" customHeight="1">
      <c r="A440" s="74"/>
      <c r="B440" s="565" t="s">
        <v>1486</v>
      </c>
      <c r="C440" s="597" t="s">
        <v>58</v>
      </c>
      <c r="D440" s="567">
        <f>D443</f>
        <v>200</v>
      </c>
      <c r="E440" s="567">
        <f>E443</f>
        <v>0</v>
      </c>
      <c r="F440" s="568">
        <f>E440/D440*100</f>
        <v>0</v>
      </c>
      <c r="G440" s="64"/>
    </row>
    <row r="441" spans="1:7" s="65" customFormat="1" ht="18.75" customHeight="1">
      <c r="A441" s="74"/>
      <c r="B441" s="572"/>
      <c r="C441" s="573" t="s">
        <v>185</v>
      </c>
      <c r="D441" s="574">
        <f>SUM(D442)</f>
        <v>200</v>
      </c>
      <c r="E441" s="574">
        <f>SUM(E442)</f>
        <v>0</v>
      </c>
      <c r="F441" s="575">
        <f>E441/D441*100</f>
        <v>0</v>
      </c>
      <c r="G441" s="64"/>
    </row>
    <row r="442" spans="1:7" s="65" customFormat="1" ht="18.75" customHeight="1">
      <c r="A442" s="74"/>
      <c r="B442" s="579"/>
      <c r="C442" s="580" t="s">
        <v>284</v>
      </c>
      <c r="D442" s="581">
        <f>SUM(D443)</f>
        <v>200</v>
      </c>
      <c r="E442" s="581">
        <f>SUM(E443)</f>
        <v>0</v>
      </c>
      <c r="F442" s="582">
        <f>E442/D442*100</f>
        <v>0</v>
      </c>
      <c r="G442" s="64"/>
    </row>
    <row r="443" spans="1:7" s="65" customFormat="1" ht="18.75" customHeight="1">
      <c r="A443" s="74"/>
      <c r="B443" s="586"/>
      <c r="C443" s="587" t="s">
        <v>285</v>
      </c>
      <c r="D443" s="588">
        <v>200</v>
      </c>
      <c r="E443" s="588">
        <v>0</v>
      </c>
      <c r="F443" s="589">
        <f>E443/D443*100</f>
        <v>0</v>
      </c>
      <c r="G443" s="64"/>
    </row>
    <row r="444" spans="1:8" s="626" customFormat="1" ht="18.75" customHeight="1" hidden="1">
      <c r="A444" s="615"/>
      <c r="B444" s="565" t="s">
        <v>47</v>
      </c>
      <c r="C444" s="597" t="s">
        <v>982</v>
      </c>
      <c r="D444" s="567">
        <f>SUM(D445,D450)</f>
        <v>0</v>
      </c>
      <c r="E444" s="567">
        <f>SUM(E445,E450)</f>
        <v>0</v>
      </c>
      <c r="F444" s="568" t="e">
        <f t="shared" si="26"/>
        <v>#DIV/0!</v>
      </c>
      <c r="G444" s="583"/>
      <c r="H444" s="584"/>
    </row>
    <row r="445" spans="1:7" s="577" customFormat="1" ht="18.75" customHeight="1" hidden="1">
      <c r="A445" s="571"/>
      <c r="B445" s="572"/>
      <c r="C445" s="573" t="s">
        <v>185</v>
      </c>
      <c r="D445" s="574">
        <f>SUM(D446,D449)</f>
        <v>0</v>
      </c>
      <c r="E445" s="574">
        <f>SUM(E446,E449)</f>
        <v>0</v>
      </c>
      <c r="F445" s="575" t="e">
        <f t="shared" si="26"/>
        <v>#DIV/0!</v>
      </c>
      <c r="G445" s="576"/>
    </row>
    <row r="446" spans="1:7" s="584" customFormat="1" ht="18" customHeight="1" hidden="1">
      <c r="A446" s="578"/>
      <c r="B446" s="579"/>
      <c r="C446" s="580" t="s">
        <v>284</v>
      </c>
      <c r="D446" s="581">
        <f>SUM(D448,D447)</f>
        <v>0</v>
      </c>
      <c r="E446" s="581">
        <f>SUM(E448,E447)</f>
        <v>0</v>
      </c>
      <c r="F446" s="582" t="e">
        <f t="shared" si="26"/>
        <v>#DIV/0!</v>
      </c>
      <c r="G446" s="583"/>
    </row>
    <row r="447" spans="1:7" s="776" customFormat="1" ht="18.75" customHeight="1" hidden="1">
      <c r="A447" s="770"/>
      <c r="B447" s="771"/>
      <c r="C447" s="772" t="s">
        <v>668</v>
      </c>
      <c r="D447" s="773">
        <v>0</v>
      </c>
      <c r="E447" s="773">
        <v>0</v>
      </c>
      <c r="F447" s="774" t="e">
        <f t="shared" si="26"/>
        <v>#DIV/0!</v>
      </c>
      <c r="G447" s="775"/>
    </row>
    <row r="448" spans="1:7" s="590" customFormat="1" ht="18.75" customHeight="1" hidden="1">
      <c r="A448" s="585"/>
      <c r="B448" s="586"/>
      <c r="C448" s="587" t="s">
        <v>285</v>
      </c>
      <c r="D448" s="588">
        <v>0</v>
      </c>
      <c r="E448" s="588">
        <v>0</v>
      </c>
      <c r="F448" s="589" t="e">
        <f t="shared" si="26"/>
        <v>#DIV/0!</v>
      </c>
      <c r="G448" s="583"/>
    </row>
    <row r="449" spans="1:7" s="584" customFormat="1" ht="18.75" customHeight="1" hidden="1">
      <c r="A449" s="617"/>
      <c r="B449" s="579"/>
      <c r="C449" s="667" t="s">
        <v>296</v>
      </c>
      <c r="D449" s="581">
        <v>0</v>
      </c>
      <c r="E449" s="581">
        <v>0</v>
      </c>
      <c r="F449" s="582" t="e">
        <f t="shared" si="26"/>
        <v>#DIV/0!</v>
      </c>
      <c r="G449" s="583"/>
    </row>
    <row r="450" spans="1:7" s="60" customFormat="1" ht="18.75" customHeight="1" hidden="1">
      <c r="A450" s="54"/>
      <c r="B450" s="55"/>
      <c r="C450" s="56" t="s">
        <v>287</v>
      </c>
      <c r="D450" s="57">
        <f>SUM(D451)</f>
        <v>0</v>
      </c>
      <c r="E450" s="57">
        <f>SUM(E451)</f>
        <v>0</v>
      </c>
      <c r="F450" s="58" t="e">
        <f t="shared" si="26"/>
        <v>#DIV/0!</v>
      </c>
      <c r="G450" s="59"/>
    </row>
    <row r="451" spans="1:7" s="65" customFormat="1" ht="26.25" customHeight="1" hidden="1">
      <c r="A451" s="61"/>
      <c r="B451" s="62"/>
      <c r="C451" s="26" t="s">
        <v>1367</v>
      </c>
      <c r="D451" s="27">
        <v>0</v>
      </c>
      <c r="E451" s="27">
        <v>0</v>
      </c>
      <c r="F451" s="63" t="e">
        <f t="shared" si="26"/>
        <v>#DIV/0!</v>
      </c>
      <c r="G451" s="64"/>
    </row>
    <row r="452" spans="1:8" s="626" customFormat="1" ht="18.75" customHeight="1">
      <c r="A452" s="615"/>
      <c r="B452" s="565" t="s">
        <v>50</v>
      </c>
      <c r="C452" s="597" t="s">
        <v>51</v>
      </c>
      <c r="D452" s="567">
        <f>SUM(D453)</f>
        <v>335639</v>
      </c>
      <c r="E452" s="567">
        <f>SUM(E453)</f>
        <v>61919.2</v>
      </c>
      <c r="F452" s="568">
        <f t="shared" si="26"/>
        <v>18.448154117966027</v>
      </c>
      <c r="G452" s="583"/>
      <c r="H452" s="584"/>
    </row>
    <row r="453" spans="1:7" s="577" customFormat="1" ht="18.75" customHeight="1">
      <c r="A453" s="571"/>
      <c r="B453" s="572"/>
      <c r="C453" s="573" t="s">
        <v>185</v>
      </c>
      <c r="D453" s="574">
        <f>SUM(D454,D456,D457)</f>
        <v>335639</v>
      </c>
      <c r="E453" s="574">
        <f>SUM(E454,E456,E457)</f>
        <v>61919.2</v>
      </c>
      <c r="F453" s="575">
        <f t="shared" si="26"/>
        <v>18.448154117966027</v>
      </c>
      <c r="G453" s="576"/>
    </row>
    <row r="454" spans="1:7" s="584" customFormat="1" ht="18" customHeight="1">
      <c r="A454" s="578"/>
      <c r="B454" s="579"/>
      <c r="C454" s="580" t="s">
        <v>284</v>
      </c>
      <c r="D454" s="581">
        <f>SUM(D455)</f>
        <v>7500</v>
      </c>
      <c r="E454" s="581">
        <f>SUM(E455)</f>
        <v>0</v>
      </c>
      <c r="F454" s="582">
        <f>E454/D454*100</f>
        <v>0</v>
      </c>
      <c r="G454" s="583"/>
    </row>
    <row r="455" spans="1:7" s="623" customFormat="1" ht="18.75" customHeight="1">
      <c r="A455" s="618"/>
      <c r="B455" s="619"/>
      <c r="C455" s="620" t="s">
        <v>285</v>
      </c>
      <c r="D455" s="621">
        <v>7500</v>
      </c>
      <c r="E455" s="621">
        <v>0</v>
      </c>
      <c r="F455" s="622">
        <f>E455/D455*100</f>
        <v>0</v>
      </c>
      <c r="G455" s="613"/>
    </row>
    <row r="456" spans="1:7" s="584" customFormat="1" ht="18.75" customHeight="1">
      <c r="A456" s="617"/>
      <c r="B456" s="579"/>
      <c r="C456" s="667" t="s">
        <v>296</v>
      </c>
      <c r="D456" s="581">
        <v>328139</v>
      </c>
      <c r="E456" s="581">
        <v>61919.2</v>
      </c>
      <c r="F456" s="582">
        <f t="shared" si="26"/>
        <v>18.869808221515882</v>
      </c>
      <c r="G456" s="583"/>
    </row>
    <row r="457" spans="1:7" s="757" customFormat="1" ht="18.75" customHeight="1" hidden="1">
      <c r="A457" s="765"/>
      <c r="B457" s="752"/>
      <c r="C457" s="766" t="s">
        <v>286</v>
      </c>
      <c r="D457" s="754">
        <v>0</v>
      </c>
      <c r="E457" s="754">
        <v>0</v>
      </c>
      <c r="F457" s="755" t="e">
        <f>E457/D457*100</f>
        <v>#DIV/0!</v>
      </c>
      <c r="G457" s="767"/>
    </row>
    <row r="458" spans="1:8" s="626" customFormat="1" ht="18.75" customHeight="1">
      <c r="A458" s="615"/>
      <c r="B458" s="565" t="s">
        <v>986</v>
      </c>
      <c r="C458" s="597" t="s">
        <v>723</v>
      </c>
      <c r="D458" s="567">
        <f>D461</f>
        <v>9265</v>
      </c>
      <c r="E458" s="567">
        <f>E461</f>
        <v>0</v>
      </c>
      <c r="F458" s="568">
        <f t="shared" si="26"/>
        <v>0</v>
      </c>
      <c r="G458" s="583"/>
      <c r="H458" s="584"/>
    </row>
    <row r="459" spans="1:7" s="577" customFormat="1" ht="18.75" customHeight="1">
      <c r="A459" s="571"/>
      <c r="B459" s="572"/>
      <c r="C459" s="573" t="s">
        <v>185</v>
      </c>
      <c r="D459" s="574">
        <f>SUM(D460)</f>
        <v>9265</v>
      </c>
      <c r="E459" s="574">
        <f>SUM(E460)</f>
        <v>0</v>
      </c>
      <c r="F459" s="575">
        <f t="shared" si="26"/>
        <v>0</v>
      </c>
      <c r="G459" s="576"/>
    </row>
    <row r="460" spans="1:7" s="584" customFormat="1" ht="18" customHeight="1">
      <c r="A460" s="578"/>
      <c r="B460" s="579"/>
      <c r="C460" s="580" t="s">
        <v>284</v>
      </c>
      <c r="D460" s="581">
        <f>SUM(D461)</f>
        <v>9265</v>
      </c>
      <c r="E460" s="581">
        <f>SUM(E461)</f>
        <v>0</v>
      </c>
      <c r="F460" s="582">
        <f t="shared" si="26"/>
        <v>0</v>
      </c>
      <c r="G460" s="583"/>
    </row>
    <row r="461" spans="1:7" s="590" customFormat="1" ht="18.75" customHeight="1">
      <c r="A461" s="585"/>
      <c r="B461" s="586"/>
      <c r="C461" s="587" t="s">
        <v>285</v>
      </c>
      <c r="D461" s="588">
        <v>9265</v>
      </c>
      <c r="E461" s="588">
        <v>0</v>
      </c>
      <c r="F461" s="589">
        <f t="shared" si="26"/>
        <v>0</v>
      </c>
      <c r="G461" s="583"/>
    </row>
    <row r="462" spans="1:8" s="626" customFormat="1" ht="18.75" customHeight="1">
      <c r="A462" s="615"/>
      <c r="B462" s="565" t="s">
        <v>987</v>
      </c>
      <c r="C462" s="597" t="s">
        <v>1358</v>
      </c>
      <c r="D462" s="567">
        <f>D463</f>
        <v>139525</v>
      </c>
      <c r="E462" s="567">
        <f>E463</f>
        <v>45511.649999999994</v>
      </c>
      <c r="F462" s="568">
        <f aca="true" t="shared" si="27" ref="F462:F507">E462/D462*100</f>
        <v>32.618993012005014</v>
      </c>
      <c r="G462" s="583"/>
      <c r="H462" s="584"/>
    </row>
    <row r="463" spans="1:7" s="577" customFormat="1" ht="18.75" customHeight="1">
      <c r="A463" s="571"/>
      <c r="B463" s="572"/>
      <c r="C463" s="573" t="s">
        <v>185</v>
      </c>
      <c r="D463" s="574">
        <f>SUM(D464,D467)</f>
        <v>139525</v>
      </c>
      <c r="E463" s="574">
        <f>SUM(E464,E467)</f>
        <v>45511.649999999994</v>
      </c>
      <c r="F463" s="575">
        <f t="shared" si="27"/>
        <v>32.618993012005014</v>
      </c>
      <c r="G463" s="576"/>
    </row>
    <row r="464" spans="1:7" s="584" customFormat="1" ht="18" customHeight="1">
      <c r="A464" s="578"/>
      <c r="B464" s="579"/>
      <c r="C464" s="580" t="s">
        <v>284</v>
      </c>
      <c r="D464" s="581">
        <f>SUM(D466,D465)</f>
        <v>136746</v>
      </c>
      <c r="E464" s="581">
        <f>SUM(E466,E465)</f>
        <v>45511.649999999994</v>
      </c>
      <c r="F464" s="582">
        <f t="shared" si="27"/>
        <v>33.281887587205475</v>
      </c>
      <c r="G464" s="583"/>
    </row>
    <row r="465" spans="1:7" s="776" customFormat="1" ht="18.75" customHeight="1">
      <c r="A465" s="770"/>
      <c r="B465" s="771"/>
      <c r="C465" s="772" t="s">
        <v>668</v>
      </c>
      <c r="D465" s="773">
        <v>123700</v>
      </c>
      <c r="E465" s="773">
        <v>39934.56</v>
      </c>
      <c r="F465" s="774">
        <f t="shared" si="27"/>
        <v>32.28339531123686</v>
      </c>
      <c r="G465" s="775"/>
    </row>
    <row r="466" spans="1:7" s="590" customFormat="1" ht="18.75" customHeight="1">
      <c r="A466" s="585"/>
      <c r="B466" s="586"/>
      <c r="C466" s="587" t="s">
        <v>285</v>
      </c>
      <c r="D466" s="588">
        <v>13046</v>
      </c>
      <c r="E466" s="588">
        <v>5577.09</v>
      </c>
      <c r="F466" s="589">
        <f t="shared" si="27"/>
        <v>42.74942511114518</v>
      </c>
      <c r="G466" s="583"/>
    </row>
    <row r="467" spans="1:7" s="584" customFormat="1" ht="18.75" customHeight="1">
      <c r="A467" s="617"/>
      <c r="B467" s="579"/>
      <c r="C467" s="667" t="s">
        <v>296</v>
      </c>
      <c r="D467" s="581">
        <v>2779</v>
      </c>
      <c r="E467" s="581">
        <v>0</v>
      </c>
      <c r="F467" s="582">
        <f t="shared" si="27"/>
        <v>0</v>
      </c>
      <c r="G467" s="583"/>
    </row>
    <row r="468" spans="1:7" s="584" customFormat="1" ht="27" customHeight="1">
      <c r="A468" s="616" t="s">
        <v>53</v>
      </c>
      <c r="B468" s="558"/>
      <c r="C468" s="559" t="s">
        <v>1000</v>
      </c>
      <c r="D468" s="560">
        <f>SUM(D469,D476,D480,D488,D493,D499,D502,D506)</f>
        <v>25860567</v>
      </c>
      <c r="E468" s="560">
        <f>SUM(E469,E476,E480,E488,E493,E499,E502,E506)</f>
        <v>7829290.63</v>
      </c>
      <c r="F468" s="561">
        <f t="shared" si="27"/>
        <v>30.27501535445839</v>
      </c>
      <c r="G468" s="583"/>
    </row>
    <row r="469" spans="1:7" s="584" customFormat="1" ht="22.5" customHeight="1">
      <c r="A469" s="616"/>
      <c r="B469" s="565" t="s">
        <v>458</v>
      </c>
      <c r="C469" s="597" t="s">
        <v>459</v>
      </c>
      <c r="D469" s="567">
        <f>D470+D474</f>
        <v>4074300</v>
      </c>
      <c r="E469" s="567">
        <f>E470+E474</f>
        <v>10928.42</v>
      </c>
      <c r="F469" s="568">
        <f aca="true" t="shared" si="28" ref="F469:F475">E469/D469*100</f>
        <v>0.2682281618928405</v>
      </c>
      <c r="G469" s="583"/>
    </row>
    <row r="470" spans="1:7" s="584" customFormat="1" ht="17.25" customHeight="1">
      <c r="A470" s="616"/>
      <c r="B470" s="572"/>
      <c r="C470" s="573" t="s">
        <v>185</v>
      </c>
      <c r="D470" s="574">
        <f>SUM(D471)</f>
        <v>4060009</v>
      </c>
      <c r="E470" s="574">
        <f>SUM(E471)</f>
        <v>10928.42</v>
      </c>
      <c r="F470" s="575">
        <f t="shared" si="28"/>
        <v>0.2691723097165548</v>
      </c>
      <c r="G470" s="583"/>
    </row>
    <row r="471" spans="1:7" s="584" customFormat="1" ht="17.25" customHeight="1">
      <c r="A471" s="616"/>
      <c r="B471" s="579"/>
      <c r="C471" s="580" t="s">
        <v>284</v>
      </c>
      <c r="D471" s="581">
        <f>SUM(D473,D472)</f>
        <v>4060009</v>
      </c>
      <c r="E471" s="581">
        <f>SUM(E473,E472)</f>
        <v>10928.42</v>
      </c>
      <c r="F471" s="582">
        <f t="shared" si="28"/>
        <v>0.2691723097165548</v>
      </c>
      <c r="G471" s="583"/>
    </row>
    <row r="472" spans="1:7" s="584" customFormat="1" ht="17.25" customHeight="1">
      <c r="A472" s="616"/>
      <c r="B472" s="771"/>
      <c r="C472" s="772" t="s">
        <v>668</v>
      </c>
      <c r="D472" s="773">
        <v>225170</v>
      </c>
      <c r="E472" s="773">
        <v>1555.32</v>
      </c>
      <c r="F472" s="774">
        <f t="shared" si="28"/>
        <v>0.6907314473508904</v>
      </c>
      <c r="G472" s="583"/>
    </row>
    <row r="473" spans="1:7" s="584" customFormat="1" ht="16.5" customHeight="1">
      <c r="A473" s="616"/>
      <c r="B473" s="586"/>
      <c r="C473" s="587" t="s">
        <v>285</v>
      </c>
      <c r="D473" s="588">
        <v>3834839</v>
      </c>
      <c r="E473" s="588">
        <v>9373.1</v>
      </c>
      <c r="F473" s="589">
        <f t="shared" si="28"/>
        <v>0.24441964838680322</v>
      </c>
      <c r="G473" s="583"/>
    </row>
    <row r="474" spans="1:7" s="584" customFormat="1" ht="17.25" customHeight="1">
      <c r="A474" s="616"/>
      <c r="B474" s="586"/>
      <c r="C474" s="573" t="s">
        <v>287</v>
      </c>
      <c r="D474" s="574">
        <f>SUM(D475)</f>
        <v>14291</v>
      </c>
      <c r="E474" s="574">
        <f>SUM(E475)</f>
        <v>0</v>
      </c>
      <c r="F474" s="575">
        <f t="shared" si="28"/>
        <v>0</v>
      </c>
      <c r="G474" s="583"/>
    </row>
    <row r="475" spans="1:7" s="584" customFormat="1" ht="28.5" customHeight="1">
      <c r="A475" s="616"/>
      <c r="B475" s="558"/>
      <c r="C475" s="580" t="s">
        <v>1367</v>
      </c>
      <c r="D475" s="581">
        <v>14291</v>
      </c>
      <c r="E475" s="581">
        <v>0</v>
      </c>
      <c r="F475" s="582">
        <f t="shared" si="28"/>
        <v>0</v>
      </c>
      <c r="G475" s="583"/>
    </row>
    <row r="476" spans="1:8" s="626" customFormat="1" ht="18.75" customHeight="1">
      <c r="A476" s="615"/>
      <c r="B476" s="565" t="s">
        <v>54</v>
      </c>
      <c r="C476" s="597" t="s">
        <v>229</v>
      </c>
      <c r="D476" s="567">
        <f aca="true" t="shared" si="29" ref="D476:E478">SUM(D477)</f>
        <v>4635000</v>
      </c>
      <c r="E476" s="567">
        <f t="shared" si="29"/>
        <v>2955118.5</v>
      </c>
      <c r="F476" s="568">
        <f t="shared" si="27"/>
        <v>63.75660194174757</v>
      </c>
      <c r="G476" s="583"/>
      <c r="H476" s="584"/>
    </row>
    <row r="477" spans="1:7" s="577" customFormat="1" ht="18.75" customHeight="1">
      <c r="A477" s="571"/>
      <c r="B477" s="572"/>
      <c r="C477" s="573" t="s">
        <v>185</v>
      </c>
      <c r="D477" s="574">
        <f t="shared" si="29"/>
        <v>4635000</v>
      </c>
      <c r="E477" s="574">
        <f t="shared" si="29"/>
        <v>2955118.5</v>
      </c>
      <c r="F477" s="575">
        <f t="shared" si="27"/>
        <v>63.75660194174757</v>
      </c>
      <c r="G477" s="576"/>
    </row>
    <row r="478" spans="1:7" s="584" customFormat="1" ht="18" customHeight="1">
      <c r="A478" s="578"/>
      <c r="B478" s="579"/>
      <c r="C478" s="580" t="s">
        <v>284</v>
      </c>
      <c r="D478" s="581">
        <f t="shared" si="29"/>
        <v>4635000</v>
      </c>
      <c r="E478" s="581">
        <f t="shared" si="29"/>
        <v>2955118.5</v>
      </c>
      <c r="F478" s="582">
        <f t="shared" si="27"/>
        <v>63.75660194174757</v>
      </c>
      <c r="G478" s="583"/>
    </row>
    <row r="479" spans="1:7" s="590" customFormat="1" ht="18.75" customHeight="1">
      <c r="A479" s="585"/>
      <c r="B479" s="586"/>
      <c r="C479" s="587" t="s">
        <v>285</v>
      </c>
      <c r="D479" s="588">
        <v>4635000</v>
      </c>
      <c r="E479" s="588">
        <v>2955118.5</v>
      </c>
      <c r="F479" s="589">
        <f t="shared" si="27"/>
        <v>63.75660194174757</v>
      </c>
      <c r="G479" s="583"/>
    </row>
    <row r="480" spans="1:7" s="570" customFormat="1" ht="18.75" customHeight="1">
      <c r="A480" s="615"/>
      <c r="B480" s="565" t="s">
        <v>1001</v>
      </c>
      <c r="C480" s="597" t="s">
        <v>1002</v>
      </c>
      <c r="D480" s="567">
        <f>SUM(D481,D485)</f>
        <v>9095240</v>
      </c>
      <c r="E480" s="567">
        <f>SUM(E481,E485)</f>
        <v>3060733.1799999997</v>
      </c>
      <c r="F480" s="568">
        <f t="shared" si="27"/>
        <v>33.65203315140667</v>
      </c>
      <c r="G480" s="562"/>
    </row>
    <row r="481" spans="1:7" s="577" customFormat="1" ht="18.75" customHeight="1">
      <c r="A481" s="571"/>
      <c r="B481" s="572"/>
      <c r="C481" s="573" t="s">
        <v>185</v>
      </c>
      <c r="D481" s="574">
        <f>SUM(D482)</f>
        <v>3010240</v>
      </c>
      <c r="E481" s="574">
        <f>SUM(E482)</f>
        <v>1231248.95</v>
      </c>
      <c r="F481" s="575">
        <f t="shared" si="27"/>
        <v>40.902019440310404</v>
      </c>
      <c r="G481" s="576"/>
    </row>
    <row r="482" spans="1:7" s="584" customFormat="1" ht="18" customHeight="1">
      <c r="A482" s="578"/>
      <c r="B482" s="579"/>
      <c r="C482" s="580" t="s">
        <v>284</v>
      </c>
      <c r="D482" s="581">
        <f>SUM(D483,D484)</f>
        <v>3010240</v>
      </c>
      <c r="E482" s="581">
        <f>SUM(E483,E484)</f>
        <v>1231248.95</v>
      </c>
      <c r="F482" s="582">
        <f t="shared" si="27"/>
        <v>40.902019440310404</v>
      </c>
      <c r="G482" s="583"/>
    </row>
    <row r="483" spans="1:7" s="776" customFormat="1" ht="18.75" customHeight="1">
      <c r="A483" s="770"/>
      <c r="B483" s="771"/>
      <c r="C483" s="772" t="s">
        <v>668</v>
      </c>
      <c r="D483" s="773">
        <v>16620</v>
      </c>
      <c r="E483" s="773">
        <v>0</v>
      </c>
      <c r="F483" s="774">
        <f>E483/D483*100</f>
        <v>0</v>
      </c>
      <c r="G483" s="775"/>
    </row>
    <row r="484" spans="1:7" s="590" customFormat="1" ht="18.75" customHeight="1">
      <c r="A484" s="585"/>
      <c r="B484" s="586"/>
      <c r="C484" s="587" t="s">
        <v>285</v>
      </c>
      <c r="D484" s="588">
        <v>2993620</v>
      </c>
      <c r="E484" s="588">
        <v>1231248.95</v>
      </c>
      <c r="F484" s="589">
        <f t="shared" si="27"/>
        <v>41.12909955171331</v>
      </c>
      <c r="G484" s="583"/>
    </row>
    <row r="485" spans="1:7" s="577" customFormat="1" ht="18.75" customHeight="1">
      <c r="A485" s="571"/>
      <c r="B485" s="572"/>
      <c r="C485" s="573" t="s">
        <v>287</v>
      </c>
      <c r="D485" s="574">
        <f>SUM(D486,D487)</f>
        <v>6085000</v>
      </c>
      <c r="E485" s="574">
        <f>SUM(E486,E487)</f>
        <v>1829484.23</v>
      </c>
      <c r="F485" s="575">
        <f t="shared" si="27"/>
        <v>30.065476253081346</v>
      </c>
      <c r="G485" s="576"/>
    </row>
    <row r="486" spans="1:7" s="584" customFormat="1" ht="26.25" customHeight="1">
      <c r="A486" s="578"/>
      <c r="B486" s="579"/>
      <c r="C486" s="580" t="s">
        <v>1367</v>
      </c>
      <c r="D486" s="581">
        <v>594000</v>
      </c>
      <c r="E486" s="581">
        <v>57502.71</v>
      </c>
      <c r="F486" s="582">
        <f t="shared" si="27"/>
        <v>9.68059090909091</v>
      </c>
      <c r="G486" s="583"/>
    </row>
    <row r="487" spans="1:7" s="65" customFormat="1" ht="21.75" customHeight="1">
      <c r="A487" s="74"/>
      <c r="B487" s="62"/>
      <c r="C487" s="26" t="s">
        <v>304</v>
      </c>
      <c r="D487" s="27">
        <v>5491000</v>
      </c>
      <c r="E487" s="27">
        <v>1771981.52</v>
      </c>
      <c r="F487" s="63">
        <f t="shared" si="27"/>
        <v>32.270652340193045</v>
      </c>
      <c r="G487" s="64"/>
    </row>
    <row r="488" spans="1:7" s="570" customFormat="1" ht="18.75" customHeight="1">
      <c r="A488" s="615"/>
      <c r="B488" s="565" t="s">
        <v>1005</v>
      </c>
      <c r="C488" s="597" t="s">
        <v>1010</v>
      </c>
      <c r="D488" s="567">
        <f>SUM(D489)</f>
        <v>340000</v>
      </c>
      <c r="E488" s="567">
        <f>SUM(E489)</f>
        <v>170002</v>
      </c>
      <c r="F488" s="568">
        <f t="shared" si="27"/>
        <v>50.00058823529412</v>
      </c>
      <c r="G488" s="562"/>
    </row>
    <row r="489" spans="1:7" s="577" customFormat="1" ht="18.75" customHeight="1">
      <c r="A489" s="571"/>
      <c r="B489" s="572"/>
      <c r="C489" s="573" t="s">
        <v>185</v>
      </c>
      <c r="D489" s="574">
        <f>SUM(D490,D492)</f>
        <v>340000</v>
      </c>
      <c r="E489" s="574">
        <f>SUM(E490,E492)</f>
        <v>170002</v>
      </c>
      <c r="F489" s="575">
        <f t="shared" si="27"/>
        <v>50.00058823529412</v>
      </c>
      <c r="G489" s="576"/>
    </row>
    <row r="490" spans="1:7" s="614" customFormat="1" ht="18" customHeight="1" hidden="1">
      <c r="A490" s="608"/>
      <c r="B490" s="609"/>
      <c r="C490" s="610" t="s">
        <v>284</v>
      </c>
      <c r="D490" s="611">
        <f>SUM(D491)</f>
        <v>0</v>
      </c>
      <c r="E490" s="611">
        <f>SUM(E491)</f>
        <v>0</v>
      </c>
      <c r="F490" s="612" t="e">
        <f>E490/D490*100</f>
        <v>#DIV/0!</v>
      </c>
      <c r="G490" s="613"/>
    </row>
    <row r="491" spans="1:7" s="623" customFormat="1" ht="18.75" customHeight="1" hidden="1">
      <c r="A491" s="618"/>
      <c r="B491" s="619"/>
      <c r="C491" s="620" t="s">
        <v>285</v>
      </c>
      <c r="D491" s="621">
        <v>0</v>
      </c>
      <c r="E491" s="621">
        <v>0</v>
      </c>
      <c r="F491" s="622" t="e">
        <f>E491/D491*100</f>
        <v>#DIV/0!</v>
      </c>
      <c r="G491" s="613"/>
    </row>
    <row r="492" spans="1:7" s="757" customFormat="1" ht="18" customHeight="1">
      <c r="A492" s="751"/>
      <c r="B492" s="752"/>
      <c r="C492" s="753" t="s">
        <v>286</v>
      </c>
      <c r="D492" s="754">
        <v>340000</v>
      </c>
      <c r="E492" s="754">
        <v>170002</v>
      </c>
      <c r="F492" s="755">
        <f t="shared" si="27"/>
        <v>50.00058823529412</v>
      </c>
      <c r="G492" s="767"/>
    </row>
    <row r="493" spans="1:8" s="626" customFormat="1" ht="18.75" customHeight="1">
      <c r="A493" s="615"/>
      <c r="B493" s="565" t="s">
        <v>55</v>
      </c>
      <c r="C493" s="597" t="s">
        <v>56</v>
      </c>
      <c r="D493" s="567">
        <f>SUM(D494,D498)</f>
        <v>1458000</v>
      </c>
      <c r="E493" s="567">
        <f>SUM(E494,E498)</f>
        <v>435886.95</v>
      </c>
      <c r="F493" s="568">
        <f t="shared" si="27"/>
        <v>29.896224279835394</v>
      </c>
      <c r="G493" s="583"/>
      <c r="H493" s="584"/>
    </row>
    <row r="494" spans="1:7" s="577" customFormat="1" ht="18.75" customHeight="1">
      <c r="A494" s="571"/>
      <c r="B494" s="572"/>
      <c r="C494" s="573" t="s">
        <v>185</v>
      </c>
      <c r="D494" s="574">
        <f>SUM(D495)</f>
        <v>1208000</v>
      </c>
      <c r="E494" s="574">
        <f>SUM(E495)</f>
        <v>435886.95</v>
      </c>
      <c r="F494" s="575">
        <f t="shared" si="27"/>
        <v>36.08335678807947</v>
      </c>
      <c r="G494" s="576"/>
    </row>
    <row r="495" spans="1:7" s="584" customFormat="1" ht="18" customHeight="1">
      <c r="A495" s="578"/>
      <c r="B495" s="579"/>
      <c r="C495" s="580" t="s">
        <v>284</v>
      </c>
      <c r="D495" s="581">
        <f>SUM(D496)</f>
        <v>1208000</v>
      </c>
      <c r="E495" s="581">
        <f>SUM(E496)</f>
        <v>435886.95</v>
      </c>
      <c r="F495" s="582">
        <f t="shared" si="27"/>
        <v>36.08335678807947</v>
      </c>
      <c r="G495" s="583"/>
    </row>
    <row r="496" spans="1:7" s="590" customFormat="1" ht="18.75" customHeight="1">
      <c r="A496" s="585"/>
      <c r="B496" s="586"/>
      <c r="C496" s="587" t="s">
        <v>285</v>
      </c>
      <c r="D496" s="588">
        <v>1208000</v>
      </c>
      <c r="E496" s="588">
        <v>435886.95</v>
      </c>
      <c r="F496" s="589">
        <f t="shared" si="27"/>
        <v>36.08335678807947</v>
      </c>
      <c r="G496" s="583"/>
    </row>
    <row r="497" spans="1:7" s="577" customFormat="1" ht="18.75" customHeight="1">
      <c r="A497" s="571"/>
      <c r="B497" s="572"/>
      <c r="C497" s="573" t="s">
        <v>287</v>
      </c>
      <c r="D497" s="574">
        <f>SUM(D498)</f>
        <v>250000</v>
      </c>
      <c r="E497" s="574">
        <f>SUM(E498)</f>
        <v>0</v>
      </c>
      <c r="F497" s="575">
        <f t="shared" si="27"/>
        <v>0</v>
      </c>
      <c r="G497" s="576"/>
    </row>
    <row r="498" spans="1:7" s="584" customFormat="1" ht="27.75" customHeight="1">
      <c r="A498" s="578"/>
      <c r="B498" s="579"/>
      <c r="C498" s="580" t="s">
        <v>1367</v>
      </c>
      <c r="D498" s="581">
        <v>250000</v>
      </c>
      <c r="E498" s="581">
        <v>0</v>
      </c>
      <c r="F498" s="582">
        <f t="shared" si="27"/>
        <v>0</v>
      </c>
      <c r="G498" s="583"/>
    </row>
    <row r="499" spans="1:7" s="584" customFormat="1" ht="27.75" customHeight="1">
      <c r="A499" s="615"/>
      <c r="B499" s="565" t="s">
        <v>686</v>
      </c>
      <c r="C499" s="566" t="s">
        <v>318</v>
      </c>
      <c r="D499" s="567">
        <f>SUM(D500)</f>
        <v>2785293</v>
      </c>
      <c r="E499" s="567">
        <f>SUM(E500)</f>
        <v>0</v>
      </c>
      <c r="F499" s="568">
        <f>E499/D499*100</f>
        <v>0</v>
      </c>
      <c r="G499" s="583"/>
    </row>
    <row r="500" spans="1:7" s="577" customFormat="1" ht="18.75" customHeight="1">
      <c r="A500" s="571"/>
      <c r="B500" s="572"/>
      <c r="C500" s="573" t="s">
        <v>185</v>
      </c>
      <c r="D500" s="574">
        <f>SUM(D501)</f>
        <v>2785293</v>
      </c>
      <c r="E500" s="574">
        <f>SUM(E501)</f>
        <v>0</v>
      </c>
      <c r="F500" s="575">
        <f>E500/D500*100</f>
        <v>0</v>
      </c>
      <c r="G500" s="576"/>
    </row>
    <row r="501" spans="1:7" s="757" customFormat="1" ht="18" customHeight="1">
      <c r="A501" s="751"/>
      <c r="B501" s="752"/>
      <c r="C501" s="753" t="s">
        <v>286</v>
      </c>
      <c r="D501" s="754">
        <v>2785293</v>
      </c>
      <c r="E501" s="754">
        <v>0</v>
      </c>
      <c r="F501" s="755">
        <f>E501/D501*100</f>
        <v>0</v>
      </c>
      <c r="G501" s="767"/>
    </row>
    <row r="502" spans="1:7" s="584" customFormat="1" ht="27.75" customHeight="1">
      <c r="A502" s="615"/>
      <c r="B502" s="565" t="s">
        <v>253</v>
      </c>
      <c r="C502" s="566" t="s">
        <v>254</v>
      </c>
      <c r="D502" s="567">
        <f>SUM(D505)</f>
        <v>16000</v>
      </c>
      <c r="E502" s="567">
        <f>SUM(E505)</f>
        <v>541.2</v>
      </c>
      <c r="F502" s="568">
        <f t="shared" si="27"/>
        <v>3.3825000000000003</v>
      </c>
      <c r="G502" s="583"/>
    </row>
    <row r="503" spans="1:7" s="577" customFormat="1" ht="18.75" customHeight="1">
      <c r="A503" s="571"/>
      <c r="B503" s="572"/>
      <c r="C503" s="573" t="s">
        <v>185</v>
      </c>
      <c r="D503" s="574">
        <f>SUM(D504)</f>
        <v>16000</v>
      </c>
      <c r="E503" s="574">
        <f>SUM(E504)</f>
        <v>541.2</v>
      </c>
      <c r="F503" s="575">
        <f t="shared" si="27"/>
        <v>3.3825000000000003</v>
      </c>
      <c r="G503" s="576"/>
    </row>
    <row r="504" spans="1:7" s="584" customFormat="1" ht="18" customHeight="1">
      <c r="A504" s="578"/>
      <c r="B504" s="579"/>
      <c r="C504" s="580" t="s">
        <v>284</v>
      </c>
      <c r="D504" s="581">
        <f>SUM(D505)</f>
        <v>16000</v>
      </c>
      <c r="E504" s="581">
        <f>SUM(E505)</f>
        <v>541.2</v>
      </c>
      <c r="F504" s="582">
        <f t="shared" si="27"/>
        <v>3.3825000000000003</v>
      </c>
      <c r="G504" s="583"/>
    </row>
    <row r="505" spans="1:7" s="590" customFormat="1" ht="18.75" customHeight="1">
      <c r="A505" s="585"/>
      <c r="B505" s="586"/>
      <c r="C505" s="587" t="s">
        <v>285</v>
      </c>
      <c r="D505" s="588">
        <v>16000</v>
      </c>
      <c r="E505" s="588">
        <v>541.2</v>
      </c>
      <c r="F505" s="589">
        <f t="shared" si="27"/>
        <v>3.3825000000000003</v>
      </c>
      <c r="G505" s="583"/>
    </row>
    <row r="506" spans="1:7" s="570" customFormat="1" ht="18.75" customHeight="1">
      <c r="A506" s="615"/>
      <c r="B506" s="565" t="s">
        <v>57</v>
      </c>
      <c r="C506" s="597" t="s">
        <v>1358</v>
      </c>
      <c r="D506" s="567">
        <f>SUM(D507,D512)</f>
        <v>3456734</v>
      </c>
      <c r="E506" s="567">
        <f>SUM(E507,E512)</f>
        <v>1196080.38</v>
      </c>
      <c r="F506" s="568">
        <f t="shared" si="27"/>
        <v>34.601458486536714</v>
      </c>
      <c r="G506" s="562"/>
    </row>
    <row r="507" spans="1:7" s="577" customFormat="1" ht="18.75" customHeight="1">
      <c r="A507" s="571"/>
      <c r="B507" s="572"/>
      <c r="C507" s="573" t="s">
        <v>185</v>
      </c>
      <c r="D507" s="574">
        <f>SUM(D508,D511)</f>
        <v>687974</v>
      </c>
      <c r="E507" s="574">
        <f>SUM(E508,E511)</f>
        <v>195772.37</v>
      </c>
      <c r="F507" s="575">
        <f t="shared" si="27"/>
        <v>28.45636172297209</v>
      </c>
      <c r="G507" s="576"/>
    </row>
    <row r="508" spans="1:7" s="584" customFormat="1" ht="18" customHeight="1">
      <c r="A508" s="578"/>
      <c r="B508" s="579"/>
      <c r="C508" s="580" t="s">
        <v>284</v>
      </c>
      <c r="D508" s="581">
        <f>SUM(D509,D510)</f>
        <v>665974</v>
      </c>
      <c r="E508" s="581">
        <f>SUM(E509,E510)</f>
        <v>175772.37</v>
      </c>
      <c r="F508" s="582">
        <f aca="true" t="shared" si="30" ref="F508:F547">E508/D508*100</f>
        <v>26.39327811596248</v>
      </c>
      <c r="G508" s="583"/>
    </row>
    <row r="509" spans="1:7" s="776" customFormat="1" ht="18.75" customHeight="1">
      <c r="A509" s="770"/>
      <c r="B509" s="771"/>
      <c r="C509" s="772" t="s">
        <v>668</v>
      </c>
      <c r="D509" s="773">
        <v>65000</v>
      </c>
      <c r="E509" s="773">
        <v>24128</v>
      </c>
      <c r="F509" s="774">
        <f>E509/D509*100</f>
        <v>37.12</v>
      </c>
      <c r="G509" s="775"/>
    </row>
    <row r="510" spans="1:7" s="590" customFormat="1" ht="18.75" customHeight="1">
      <c r="A510" s="585"/>
      <c r="B510" s="586"/>
      <c r="C510" s="587" t="s">
        <v>285</v>
      </c>
      <c r="D510" s="588">
        <v>600974</v>
      </c>
      <c r="E510" s="588">
        <v>151644.37</v>
      </c>
      <c r="F510" s="589">
        <f t="shared" si="30"/>
        <v>25.233099934439757</v>
      </c>
      <c r="G510" s="583"/>
    </row>
    <row r="511" spans="1:7" s="757" customFormat="1" ht="18.75" customHeight="1">
      <c r="A511" s="751"/>
      <c r="B511" s="752"/>
      <c r="C511" s="753" t="s">
        <v>286</v>
      </c>
      <c r="D511" s="754">
        <v>22000</v>
      </c>
      <c r="E511" s="754">
        <v>20000</v>
      </c>
      <c r="F511" s="755">
        <f t="shared" si="30"/>
        <v>90.9090909090909</v>
      </c>
      <c r="G511" s="756"/>
    </row>
    <row r="512" spans="1:7" s="577" customFormat="1" ht="18.75" customHeight="1">
      <c r="A512" s="571"/>
      <c r="B512" s="572"/>
      <c r="C512" s="573" t="s">
        <v>287</v>
      </c>
      <c r="D512" s="574">
        <f>SUM(D513,D514,D515)</f>
        <v>2768760</v>
      </c>
      <c r="E512" s="574">
        <f>SUM(E513,E514,E515)</f>
        <v>1000308.01</v>
      </c>
      <c r="F512" s="575">
        <f t="shared" si="30"/>
        <v>36.12837551828255</v>
      </c>
      <c r="G512" s="576"/>
    </row>
    <row r="513" spans="1:7" s="584" customFormat="1" ht="24" customHeight="1">
      <c r="A513" s="578"/>
      <c r="B513" s="579"/>
      <c r="C513" s="580" t="s">
        <v>1367</v>
      </c>
      <c r="D513" s="581">
        <v>890760</v>
      </c>
      <c r="E513" s="581">
        <v>88488.22</v>
      </c>
      <c r="F513" s="582">
        <f t="shared" si="30"/>
        <v>9.93401365126409</v>
      </c>
      <c r="G513" s="583"/>
    </row>
    <row r="514" spans="1:7" s="65" customFormat="1" ht="21.75" customHeight="1">
      <c r="A514" s="74"/>
      <c r="B514" s="62"/>
      <c r="C514" s="26" t="s">
        <v>304</v>
      </c>
      <c r="D514" s="27">
        <v>1878000</v>
      </c>
      <c r="E514" s="27">
        <v>911819.79</v>
      </c>
      <c r="F514" s="63">
        <f t="shared" si="30"/>
        <v>48.55270447284345</v>
      </c>
      <c r="G514" s="64"/>
    </row>
    <row r="515" spans="1:7" s="65" customFormat="1" ht="43.5" customHeight="1" hidden="1">
      <c r="A515" s="74"/>
      <c r="B515" s="62"/>
      <c r="C515" s="26" t="s">
        <v>1365</v>
      </c>
      <c r="D515" s="27">
        <v>0</v>
      </c>
      <c r="E515" s="27">
        <v>0</v>
      </c>
      <c r="F515" s="63" t="e">
        <f t="shared" si="30"/>
        <v>#DIV/0!</v>
      </c>
      <c r="G515" s="64"/>
    </row>
    <row r="516" spans="1:8" s="626" customFormat="1" ht="31.5" customHeight="1">
      <c r="A516" s="616" t="s">
        <v>90</v>
      </c>
      <c r="B516" s="558"/>
      <c r="C516" s="559" t="s">
        <v>1011</v>
      </c>
      <c r="D516" s="560">
        <f>SUM(D517,D524,D529,D534,D541)</f>
        <v>5694567</v>
      </c>
      <c r="E516" s="560">
        <f>SUM(E517,E524,E529,E534,E541)</f>
        <v>3206497.7199999997</v>
      </c>
      <c r="F516" s="561">
        <f t="shared" si="30"/>
        <v>56.308016395276404</v>
      </c>
      <c r="G516" s="583"/>
      <c r="H516" s="584"/>
    </row>
    <row r="517" spans="1:7" s="570" customFormat="1" ht="18.75" customHeight="1">
      <c r="A517" s="615"/>
      <c r="B517" s="565" t="s">
        <v>1012</v>
      </c>
      <c r="C517" s="566" t="s">
        <v>1013</v>
      </c>
      <c r="D517" s="567">
        <f>SUM(D518,D522)</f>
        <v>1801478</v>
      </c>
      <c r="E517" s="567">
        <f>SUM(E518,E522)</f>
        <v>1393903</v>
      </c>
      <c r="F517" s="568">
        <f t="shared" si="30"/>
        <v>77.37552165499662</v>
      </c>
      <c r="G517" s="562"/>
    </row>
    <row r="518" spans="1:7" s="577" customFormat="1" ht="18.75" customHeight="1">
      <c r="A518" s="571"/>
      <c r="B518" s="572"/>
      <c r="C518" s="573" t="s">
        <v>185</v>
      </c>
      <c r="D518" s="574">
        <f>SUM(D519,D521)</f>
        <v>1676478</v>
      </c>
      <c r="E518" s="574">
        <f>SUM(E519,E521)</f>
        <v>1393903</v>
      </c>
      <c r="F518" s="575">
        <f t="shared" si="30"/>
        <v>83.14472364087092</v>
      </c>
      <c r="G518" s="576"/>
    </row>
    <row r="519" spans="1:7" s="614" customFormat="1" ht="18" customHeight="1" hidden="1">
      <c r="A519" s="608"/>
      <c r="B519" s="609"/>
      <c r="C519" s="610" t="s">
        <v>284</v>
      </c>
      <c r="D519" s="611">
        <f>SUM(D520)</f>
        <v>0</v>
      </c>
      <c r="E519" s="611">
        <f>SUM(E520)</f>
        <v>0</v>
      </c>
      <c r="F519" s="612" t="e">
        <f>E519/D519*100</f>
        <v>#DIV/0!</v>
      </c>
      <c r="G519" s="613"/>
    </row>
    <row r="520" spans="1:7" s="623" customFormat="1" ht="18.75" customHeight="1" hidden="1">
      <c r="A520" s="618"/>
      <c r="B520" s="619"/>
      <c r="C520" s="620" t="s">
        <v>285</v>
      </c>
      <c r="D520" s="621">
        <v>0</v>
      </c>
      <c r="E520" s="621">
        <v>0</v>
      </c>
      <c r="F520" s="622" t="e">
        <f>E520/D520*100</f>
        <v>#DIV/0!</v>
      </c>
      <c r="G520" s="613"/>
    </row>
    <row r="521" spans="1:7" s="757" customFormat="1" ht="18.75" customHeight="1">
      <c r="A521" s="751"/>
      <c r="B521" s="752"/>
      <c r="C521" s="753" t="s">
        <v>286</v>
      </c>
      <c r="D521" s="754">
        <v>1676478</v>
      </c>
      <c r="E521" s="754">
        <v>1393903</v>
      </c>
      <c r="F521" s="755">
        <f t="shared" si="30"/>
        <v>83.14472364087092</v>
      </c>
      <c r="G521" s="756"/>
    </row>
    <row r="522" spans="1:7" s="577" customFormat="1" ht="18.75" customHeight="1">
      <c r="A522" s="571"/>
      <c r="B522" s="572"/>
      <c r="C522" s="573" t="s">
        <v>287</v>
      </c>
      <c r="D522" s="574">
        <f>SUM(D523)</f>
        <v>125000</v>
      </c>
      <c r="E522" s="574">
        <f>SUM(E523)</f>
        <v>0</v>
      </c>
      <c r="F522" s="669">
        <f t="shared" si="30"/>
        <v>0</v>
      </c>
      <c r="G522" s="576"/>
    </row>
    <row r="523" spans="1:7" s="584" customFormat="1" ht="21.75" customHeight="1">
      <c r="A523" s="617"/>
      <c r="B523" s="579"/>
      <c r="C523" s="26" t="s">
        <v>304</v>
      </c>
      <c r="D523" s="27">
        <v>125000</v>
      </c>
      <c r="E523" s="27">
        <v>0</v>
      </c>
      <c r="F523" s="63">
        <f>E523/D523*100</f>
        <v>0</v>
      </c>
      <c r="G523" s="596"/>
    </row>
    <row r="524" spans="1:7" s="584" customFormat="1" ht="18.75" customHeight="1">
      <c r="A524" s="615"/>
      <c r="B524" s="565" t="s">
        <v>1014</v>
      </c>
      <c r="C524" s="597" t="s">
        <v>1015</v>
      </c>
      <c r="D524" s="567">
        <f>SUM(D525,D527)</f>
        <v>1347105</v>
      </c>
      <c r="E524" s="567">
        <f>SUM(E525,E527)</f>
        <v>692605</v>
      </c>
      <c r="F524" s="568">
        <f t="shared" si="30"/>
        <v>51.41432924679219</v>
      </c>
      <c r="G524" s="583"/>
    </row>
    <row r="525" spans="1:7" s="577" customFormat="1" ht="18.75" customHeight="1">
      <c r="A525" s="571"/>
      <c r="B525" s="572"/>
      <c r="C525" s="573" t="s">
        <v>185</v>
      </c>
      <c r="D525" s="574">
        <f>SUM(D526)</f>
        <v>1222105</v>
      </c>
      <c r="E525" s="574">
        <f>SUM(E526)</f>
        <v>692605</v>
      </c>
      <c r="F525" s="575">
        <f t="shared" si="30"/>
        <v>56.673117285339636</v>
      </c>
      <c r="G525" s="576"/>
    </row>
    <row r="526" spans="1:7" s="757" customFormat="1" ht="18.75" customHeight="1">
      <c r="A526" s="751"/>
      <c r="B526" s="752"/>
      <c r="C526" s="753" t="s">
        <v>286</v>
      </c>
      <c r="D526" s="754">
        <v>1222105</v>
      </c>
      <c r="E526" s="754">
        <v>692605</v>
      </c>
      <c r="F526" s="755">
        <f t="shared" si="30"/>
        <v>56.673117285339636</v>
      </c>
      <c r="G526" s="756"/>
    </row>
    <row r="527" spans="1:7" s="607" customFormat="1" ht="18.75" customHeight="1">
      <c r="A527" s="601"/>
      <c r="B527" s="602"/>
      <c r="C527" s="603" t="s">
        <v>287</v>
      </c>
      <c r="D527" s="604">
        <f>SUM(D528)</f>
        <v>125000</v>
      </c>
      <c r="E527" s="604">
        <f>SUM(E528)</f>
        <v>0</v>
      </c>
      <c r="F527" s="605">
        <f>E527/D527*100</f>
        <v>0</v>
      </c>
      <c r="G527" s="606"/>
    </row>
    <row r="528" spans="1:7" s="614" customFormat="1" ht="27" customHeight="1">
      <c r="A528" s="608"/>
      <c r="B528" s="609"/>
      <c r="C528" s="610" t="s">
        <v>1367</v>
      </c>
      <c r="D528" s="611">
        <v>125000</v>
      </c>
      <c r="E528" s="611">
        <v>0</v>
      </c>
      <c r="F528" s="612">
        <f>E528/D528*100</f>
        <v>0</v>
      </c>
      <c r="G528" s="613"/>
    </row>
    <row r="529" spans="1:7" s="584" customFormat="1" ht="18.75" customHeight="1">
      <c r="A529" s="615"/>
      <c r="B529" s="565" t="s">
        <v>1016</v>
      </c>
      <c r="C529" s="597" t="s">
        <v>1017</v>
      </c>
      <c r="D529" s="567">
        <f>SUM(D530,D532)</f>
        <v>480794</v>
      </c>
      <c r="E529" s="567">
        <f>SUM(E530,E532)</f>
        <v>220794</v>
      </c>
      <c r="F529" s="568">
        <f t="shared" si="30"/>
        <v>45.922786058062286</v>
      </c>
      <c r="G529" s="583"/>
    </row>
    <row r="530" spans="1:7" s="577" customFormat="1" ht="18.75" customHeight="1">
      <c r="A530" s="571"/>
      <c r="B530" s="572"/>
      <c r="C530" s="573" t="s">
        <v>185</v>
      </c>
      <c r="D530" s="574">
        <f>SUM(D531)</f>
        <v>411794</v>
      </c>
      <c r="E530" s="574">
        <f>SUM(E531)</f>
        <v>216794</v>
      </c>
      <c r="F530" s="575">
        <f t="shared" si="30"/>
        <v>52.64622602563418</v>
      </c>
      <c r="G530" s="576"/>
    </row>
    <row r="531" spans="1:7" s="757" customFormat="1" ht="18.75" customHeight="1">
      <c r="A531" s="751"/>
      <c r="B531" s="752"/>
      <c r="C531" s="753" t="s">
        <v>286</v>
      </c>
      <c r="D531" s="754">
        <v>411794</v>
      </c>
      <c r="E531" s="754">
        <v>216794</v>
      </c>
      <c r="F531" s="755">
        <f t="shared" si="30"/>
        <v>52.64622602563418</v>
      </c>
      <c r="G531" s="756"/>
    </row>
    <row r="532" spans="1:7" s="577" customFormat="1" ht="18.75" customHeight="1">
      <c r="A532" s="571"/>
      <c r="B532" s="572"/>
      <c r="C532" s="573" t="s">
        <v>287</v>
      </c>
      <c r="D532" s="574">
        <f>SUM(D533)</f>
        <v>69000</v>
      </c>
      <c r="E532" s="574">
        <f>SUM(E533)</f>
        <v>4000</v>
      </c>
      <c r="F532" s="575">
        <f>E532/D532*100</f>
        <v>5.797101449275362</v>
      </c>
      <c r="G532" s="576"/>
    </row>
    <row r="533" spans="1:7" s="584" customFormat="1" ht="27" customHeight="1">
      <c r="A533" s="578"/>
      <c r="B533" s="579"/>
      <c r="C533" s="580" t="s">
        <v>1367</v>
      </c>
      <c r="D533" s="581">
        <v>69000</v>
      </c>
      <c r="E533" s="581">
        <v>4000</v>
      </c>
      <c r="F533" s="582">
        <f>E533/D533*100</f>
        <v>5.797101449275362</v>
      </c>
      <c r="G533" s="583"/>
    </row>
    <row r="534" spans="1:7" s="38" customFormat="1" ht="18.75" customHeight="1">
      <c r="A534" s="75"/>
      <c r="B534" s="52" t="s">
        <v>473</v>
      </c>
      <c r="C534" s="24" t="s">
        <v>474</v>
      </c>
      <c r="D534" s="25">
        <f>SUM(D535,D538)</f>
        <v>400000</v>
      </c>
      <c r="E534" s="25">
        <f>SUM(E535,E538)</f>
        <v>0</v>
      </c>
      <c r="F534" s="63">
        <f t="shared" si="30"/>
        <v>0</v>
      </c>
      <c r="G534" s="51"/>
    </row>
    <row r="535" spans="1:7" s="60" customFormat="1" ht="18.75" customHeight="1" hidden="1">
      <c r="A535" s="54"/>
      <c r="B535" s="55"/>
      <c r="C535" s="56" t="s">
        <v>185</v>
      </c>
      <c r="D535" s="57">
        <f>SUM(D536)</f>
        <v>0</v>
      </c>
      <c r="E535" s="57">
        <f>SUM(E536)</f>
        <v>0</v>
      </c>
      <c r="F535" s="58" t="e">
        <f t="shared" si="30"/>
        <v>#DIV/0!</v>
      </c>
      <c r="G535" s="59"/>
    </row>
    <row r="536" spans="1:7" s="65" customFormat="1" ht="18" customHeight="1" hidden="1">
      <c r="A536" s="61"/>
      <c r="B536" s="62"/>
      <c r="C536" s="26" t="s">
        <v>284</v>
      </c>
      <c r="D536" s="27">
        <f>SUM(D537)</f>
        <v>0</v>
      </c>
      <c r="E536" s="27">
        <f>SUM(E537)</f>
        <v>0</v>
      </c>
      <c r="F536" s="63" t="e">
        <f t="shared" si="30"/>
        <v>#DIV/0!</v>
      </c>
      <c r="G536" s="64"/>
    </row>
    <row r="537" spans="1:7" s="71" customFormat="1" ht="18.75" customHeight="1" hidden="1">
      <c r="A537" s="66"/>
      <c r="B537" s="67"/>
      <c r="C537" s="68" t="s">
        <v>285</v>
      </c>
      <c r="D537" s="69">
        <v>0</v>
      </c>
      <c r="E537" s="69">
        <v>0</v>
      </c>
      <c r="F537" s="70" t="e">
        <f t="shared" si="30"/>
        <v>#DIV/0!</v>
      </c>
      <c r="G537" s="64"/>
    </row>
    <row r="538" spans="1:7" s="60" customFormat="1" ht="18.75" customHeight="1">
      <c r="A538" s="54"/>
      <c r="B538" s="55"/>
      <c r="C538" s="56" t="s">
        <v>287</v>
      </c>
      <c r="D538" s="57">
        <f>SUM(D539,D540)</f>
        <v>400000</v>
      </c>
      <c r="E538" s="57">
        <f>SUM(E539,E540)</f>
        <v>0</v>
      </c>
      <c r="F538" s="58">
        <f t="shared" si="30"/>
        <v>0</v>
      </c>
      <c r="G538" s="59"/>
    </row>
    <row r="539" spans="1:7" s="65" customFormat="1" ht="18" customHeight="1" hidden="1">
      <c r="A539" s="61"/>
      <c r="B539" s="62"/>
      <c r="C539" s="26" t="s">
        <v>304</v>
      </c>
      <c r="D539" s="27">
        <v>0</v>
      </c>
      <c r="E539" s="27">
        <v>0</v>
      </c>
      <c r="F539" s="63" t="e">
        <f t="shared" si="30"/>
        <v>#DIV/0!</v>
      </c>
      <c r="G539" s="64"/>
    </row>
    <row r="540" spans="1:7" s="65" customFormat="1" ht="27" customHeight="1">
      <c r="A540" s="74"/>
      <c r="B540" s="62"/>
      <c r="C540" s="26" t="s">
        <v>1367</v>
      </c>
      <c r="D540" s="27">
        <v>400000</v>
      </c>
      <c r="E540" s="27">
        <v>0</v>
      </c>
      <c r="F540" s="63">
        <f t="shared" si="30"/>
        <v>0</v>
      </c>
      <c r="G540" s="64"/>
    </row>
    <row r="541" spans="1:8" s="626" customFormat="1" ht="18.75" customHeight="1">
      <c r="A541" s="615"/>
      <c r="B541" s="565" t="s">
        <v>1018</v>
      </c>
      <c r="C541" s="597" t="s">
        <v>1358</v>
      </c>
      <c r="D541" s="567">
        <f>SUM(D542,D548)</f>
        <v>1665190</v>
      </c>
      <c r="E541" s="567">
        <f>SUM(E542,E548)</f>
        <v>899195.72</v>
      </c>
      <c r="F541" s="568">
        <f t="shared" si="30"/>
        <v>53.99958683393486</v>
      </c>
      <c r="G541" s="583"/>
      <c r="H541" s="584"/>
    </row>
    <row r="542" spans="1:7" s="577" customFormat="1" ht="18.75" customHeight="1">
      <c r="A542" s="571"/>
      <c r="B542" s="572"/>
      <c r="C542" s="573" t="s">
        <v>185</v>
      </c>
      <c r="D542" s="574">
        <f>SUM(D543,D546,D547)</f>
        <v>1665190</v>
      </c>
      <c r="E542" s="574">
        <f>SUM(E543,E546,E547)</f>
        <v>899195.72</v>
      </c>
      <c r="F542" s="575">
        <f t="shared" si="30"/>
        <v>53.99958683393486</v>
      </c>
      <c r="G542" s="576"/>
    </row>
    <row r="543" spans="1:7" s="584" customFormat="1" ht="18" customHeight="1">
      <c r="A543" s="578"/>
      <c r="B543" s="579"/>
      <c r="C543" s="580" t="s">
        <v>284</v>
      </c>
      <c r="D543" s="581">
        <f>SUM(D545,D544)</f>
        <v>1229950</v>
      </c>
      <c r="E543" s="581">
        <f>SUM(E545,E544)</f>
        <v>605905.03</v>
      </c>
      <c r="F543" s="582">
        <f t="shared" si="30"/>
        <v>49.26257408837758</v>
      </c>
      <c r="G543" s="583"/>
    </row>
    <row r="544" spans="1:7" s="590" customFormat="1" ht="18.75" customHeight="1">
      <c r="A544" s="585"/>
      <c r="B544" s="586"/>
      <c r="C544" s="587" t="s">
        <v>668</v>
      </c>
      <c r="D544" s="588">
        <v>450</v>
      </c>
      <c r="E544" s="588">
        <v>450</v>
      </c>
      <c r="F544" s="589">
        <f t="shared" si="30"/>
        <v>100</v>
      </c>
      <c r="G544" s="583"/>
    </row>
    <row r="545" spans="1:7" s="590" customFormat="1" ht="18.75" customHeight="1">
      <c r="A545" s="585"/>
      <c r="B545" s="586"/>
      <c r="C545" s="587" t="s">
        <v>285</v>
      </c>
      <c r="D545" s="588">
        <v>1229500</v>
      </c>
      <c r="E545" s="588">
        <v>605455.03</v>
      </c>
      <c r="F545" s="589">
        <f t="shared" si="30"/>
        <v>49.24400406669378</v>
      </c>
      <c r="G545" s="583"/>
    </row>
    <row r="546" spans="1:7" s="757" customFormat="1" ht="18.75" customHeight="1">
      <c r="A546" s="765"/>
      <c r="B546" s="752"/>
      <c r="C546" s="753" t="s">
        <v>286</v>
      </c>
      <c r="D546" s="754">
        <v>435240</v>
      </c>
      <c r="E546" s="754">
        <v>293290.69</v>
      </c>
      <c r="F546" s="755">
        <f t="shared" si="30"/>
        <v>67.38596866096867</v>
      </c>
      <c r="G546" s="756"/>
    </row>
    <row r="547" spans="1:7" s="65" customFormat="1" ht="18.75" customHeight="1" hidden="1">
      <c r="A547" s="74"/>
      <c r="B547" s="62"/>
      <c r="C547" s="81" t="s">
        <v>296</v>
      </c>
      <c r="D547" s="27">
        <v>0</v>
      </c>
      <c r="E547" s="27">
        <v>0</v>
      </c>
      <c r="F547" s="63" t="e">
        <f t="shared" si="30"/>
        <v>#DIV/0!</v>
      </c>
      <c r="G547" s="64"/>
    </row>
    <row r="548" spans="1:7" s="65" customFormat="1" ht="18.75" customHeight="1" hidden="1">
      <c r="A548" s="74"/>
      <c r="B548" s="62"/>
      <c r="C548" s="56" t="s">
        <v>287</v>
      </c>
      <c r="D548" s="57">
        <f>SUM(D549)</f>
        <v>0</v>
      </c>
      <c r="E548" s="57">
        <f>SUM(E549)</f>
        <v>0</v>
      </c>
      <c r="F548" s="58" t="e">
        <f>E548/D548*100</f>
        <v>#DIV/0!</v>
      </c>
      <c r="G548" s="64"/>
    </row>
    <row r="549" spans="1:7" s="65" customFormat="1" ht="26.25" customHeight="1" hidden="1">
      <c r="A549" s="74"/>
      <c r="B549" s="62"/>
      <c r="C549" s="26" t="s">
        <v>1367</v>
      </c>
      <c r="D549" s="27">
        <v>0</v>
      </c>
      <c r="E549" s="27">
        <v>0</v>
      </c>
      <c r="F549" s="63" t="e">
        <f>E549/D549*100</f>
        <v>#DIV/0!</v>
      </c>
      <c r="G549" s="64"/>
    </row>
    <row r="550" spans="1:8" s="626" customFormat="1" ht="18.75" customHeight="1">
      <c r="A550" s="557" t="s">
        <v>91</v>
      </c>
      <c r="B550" s="558"/>
      <c r="C550" s="599" t="s">
        <v>78</v>
      </c>
      <c r="D550" s="560">
        <f>SUM(D551,D555)</f>
        <v>8482640</v>
      </c>
      <c r="E550" s="560">
        <f>SUM(E551,E555)</f>
        <v>5592691.68</v>
      </c>
      <c r="F550" s="561">
        <f aca="true" t="shared" si="31" ref="F550:F587">E550/D550*100</f>
        <v>65.93102713306234</v>
      </c>
      <c r="G550" s="583"/>
      <c r="H550" s="584"/>
    </row>
    <row r="551" spans="1:8" s="626" customFormat="1" ht="18.75" customHeight="1">
      <c r="A551" s="564"/>
      <c r="B551" s="565" t="s">
        <v>94</v>
      </c>
      <c r="C551" s="597" t="s">
        <v>95</v>
      </c>
      <c r="D551" s="567">
        <f>SUM(D552)</f>
        <v>2573000</v>
      </c>
      <c r="E551" s="567">
        <f>SUM(E552)</f>
        <v>1814312.51</v>
      </c>
      <c r="F551" s="568">
        <f t="shared" si="31"/>
        <v>70.51350602409639</v>
      </c>
      <c r="G551" s="583"/>
      <c r="H551" s="584"/>
    </row>
    <row r="552" spans="1:7" s="577" customFormat="1" ht="18.75" customHeight="1">
      <c r="A552" s="571"/>
      <c r="B552" s="572"/>
      <c r="C552" s="573" t="s">
        <v>287</v>
      </c>
      <c r="D552" s="574">
        <f>SUM(D553,D554)</f>
        <v>2573000</v>
      </c>
      <c r="E552" s="574">
        <f>SUM(E553)</f>
        <v>1814312.51</v>
      </c>
      <c r="F552" s="575">
        <f t="shared" si="31"/>
        <v>70.51350602409639</v>
      </c>
      <c r="G552" s="576"/>
    </row>
    <row r="553" spans="1:7" s="584" customFormat="1" ht="28.5" customHeight="1">
      <c r="A553" s="578"/>
      <c r="B553" s="579"/>
      <c r="C553" s="580" t="s">
        <v>1367</v>
      </c>
      <c r="D553" s="581">
        <v>2503000</v>
      </c>
      <c r="E553" s="581">
        <v>1814312.51</v>
      </c>
      <c r="F553" s="582">
        <f>E553/D553*100</f>
        <v>72.4855177786656</v>
      </c>
      <c r="G553" s="596"/>
    </row>
    <row r="554" spans="1:7" s="65" customFormat="1" ht="18" customHeight="1">
      <c r="A554" s="61"/>
      <c r="B554" s="62"/>
      <c r="C554" s="26" t="s">
        <v>304</v>
      </c>
      <c r="D554" s="27">
        <v>70000</v>
      </c>
      <c r="E554" s="27">
        <v>0</v>
      </c>
      <c r="F554" s="63">
        <f>E554/D554*100</f>
        <v>0</v>
      </c>
      <c r="G554" s="64"/>
    </row>
    <row r="555" spans="1:8" s="626" customFormat="1" ht="18.75" customHeight="1">
      <c r="A555" s="564"/>
      <c r="B555" s="565" t="s">
        <v>96</v>
      </c>
      <c r="C555" s="566" t="s">
        <v>82</v>
      </c>
      <c r="D555" s="567">
        <f>SUM(D556,D562)</f>
        <v>5909640</v>
      </c>
      <c r="E555" s="567">
        <f>SUM(E556,E562)</f>
        <v>3778379.17</v>
      </c>
      <c r="F555" s="568">
        <f t="shared" si="31"/>
        <v>63.935860221604024</v>
      </c>
      <c r="G555" s="583"/>
      <c r="H555" s="584"/>
    </row>
    <row r="556" spans="1:7" s="577" customFormat="1" ht="18.75" customHeight="1">
      <c r="A556" s="571"/>
      <c r="B556" s="572"/>
      <c r="C556" s="573" t="s">
        <v>185</v>
      </c>
      <c r="D556" s="574">
        <f>SUM(D557,D560,D561)</f>
        <v>4705000</v>
      </c>
      <c r="E556" s="574">
        <f>SUM(E557,E560,E561)</f>
        <v>3731479.17</v>
      </c>
      <c r="F556" s="575">
        <f t="shared" si="31"/>
        <v>79.30880276301806</v>
      </c>
      <c r="G556" s="576"/>
    </row>
    <row r="557" spans="1:7" s="584" customFormat="1" ht="18" customHeight="1">
      <c r="A557" s="578"/>
      <c r="B557" s="579"/>
      <c r="C557" s="580" t="s">
        <v>284</v>
      </c>
      <c r="D557" s="581">
        <f>SUM(D559,D558)</f>
        <v>75000</v>
      </c>
      <c r="E557" s="581">
        <f>SUM(E559,E558)</f>
        <v>62218.700000000004</v>
      </c>
      <c r="F557" s="582">
        <f t="shared" si="31"/>
        <v>82.95826666666667</v>
      </c>
      <c r="G557" s="583"/>
    </row>
    <row r="558" spans="1:7" s="776" customFormat="1" ht="18.75" customHeight="1">
      <c r="A558" s="770"/>
      <c r="B558" s="771"/>
      <c r="C558" s="772" t="s">
        <v>668</v>
      </c>
      <c r="D558" s="773">
        <v>6400</v>
      </c>
      <c r="E558" s="773">
        <v>2018.05</v>
      </c>
      <c r="F558" s="774">
        <f t="shared" si="31"/>
        <v>31.53203125</v>
      </c>
      <c r="G558" s="775"/>
    </row>
    <row r="559" spans="1:7" s="590" customFormat="1" ht="18.75" customHeight="1">
      <c r="A559" s="585"/>
      <c r="B559" s="586"/>
      <c r="C559" s="587" t="s">
        <v>285</v>
      </c>
      <c r="D559" s="588">
        <v>68600</v>
      </c>
      <c r="E559" s="588">
        <v>60200.65</v>
      </c>
      <c r="F559" s="589">
        <f t="shared" si="31"/>
        <v>87.75604956268222</v>
      </c>
      <c r="G559" s="583"/>
    </row>
    <row r="560" spans="1:7" s="757" customFormat="1" ht="18.75" customHeight="1">
      <c r="A560" s="765"/>
      <c r="B560" s="752"/>
      <c r="C560" s="753" t="s">
        <v>286</v>
      </c>
      <c r="D560" s="754">
        <v>3290000</v>
      </c>
      <c r="E560" s="754">
        <v>2931730</v>
      </c>
      <c r="F560" s="755">
        <f t="shared" si="31"/>
        <v>89.11033434650456</v>
      </c>
      <c r="G560" s="756"/>
    </row>
    <row r="561" spans="1:7" s="584" customFormat="1" ht="18.75" customHeight="1">
      <c r="A561" s="617"/>
      <c r="B561" s="579"/>
      <c r="C561" s="667" t="s">
        <v>296</v>
      </c>
      <c r="D561" s="581">
        <v>1340000</v>
      </c>
      <c r="E561" s="581">
        <v>737530.47</v>
      </c>
      <c r="F561" s="582">
        <f t="shared" si="31"/>
        <v>55.03958731343283</v>
      </c>
      <c r="G561" s="583"/>
    </row>
    <row r="562" spans="1:7" s="577" customFormat="1" ht="18.75" customHeight="1">
      <c r="A562" s="571"/>
      <c r="B562" s="572"/>
      <c r="C562" s="573" t="s">
        <v>287</v>
      </c>
      <c r="D562" s="574">
        <f>SUM(D563)</f>
        <v>1204640</v>
      </c>
      <c r="E562" s="574">
        <f>SUM(E563)</f>
        <v>46900</v>
      </c>
      <c r="F562" s="575">
        <f t="shared" si="31"/>
        <v>3.8932793199628106</v>
      </c>
      <c r="G562" s="576"/>
    </row>
    <row r="563" spans="1:7" s="584" customFormat="1" ht="28.5" customHeight="1">
      <c r="A563" s="578"/>
      <c r="B563" s="579"/>
      <c r="C563" s="580" t="s">
        <v>1367</v>
      </c>
      <c r="D563" s="581">
        <v>1204640</v>
      </c>
      <c r="E563" s="581">
        <v>46900</v>
      </c>
      <c r="F563" s="582">
        <f t="shared" si="31"/>
        <v>3.8932793199628106</v>
      </c>
      <c r="G563" s="596"/>
    </row>
    <row r="564" spans="1:7" s="175" customFormat="1" ht="18.75" customHeight="1">
      <c r="A564" s="1621" t="s">
        <v>1442</v>
      </c>
      <c r="B564" s="1622"/>
      <c r="C564" s="1623"/>
      <c r="D564" s="388">
        <f>SUM(D565,D579,D586,D610,D630,D652,D703,D735,D778,D809,D856)</f>
        <v>86324006.99</v>
      </c>
      <c r="E564" s="388">
        <f>SUM(E565,E579,E586,E610,E630,E652,E703,E735,E778,E809,E856)</f>
        <v>39641376.14</v>
      </c>
      <c r="F564" s="672">
        <f t="shared" si="31"/>
        <v>45.92161268022714</v>
      </c>
      <c r="G564" s="173"/>
    </row>
    <row r="565" spans="1:7" s="175" customFormat="1" ht="18.75" customHeight="1">
      <c r="A565" s="685" t="s">
        <v>1414</v>
      </c>
      <c r="B565" s="686"/>
      <c r="C565" s="687" t="s">
        <v>1415</v>
      </c>
      <c r="D565" s="688">
        <f>SUM(D566,D569)</f>
        <v>44689000</v>
      </c>
      <c r="E565" s="688">
        <f>SUM(E566,E569)</f>
        <v>21118286.259999998</v>
      </c>
      <c r="F565" s="689">
        <f t="shared" si="31"/>
        <v>47.25611729955917</v>
      </c>
      <c r="G565" s="173"/>
    </row>
    <row r="566" spans="1:8" s="548" customFormat="1" ht="18.75" customHeight="1" hidden="1">
      <c r="A566" s="690"/>
      <c r="B566" s="691" t="s">
        <v>1444</v>
      </c>
      <c r="C566" s="692" t="s">
        <v>998</v>
      </c>
      <c r="D566" s="452">
        <f>SUM(D567)</f>
        <v>0</v>
      </c>
      <c r="E566" s="452">
        <f>SUM(E567)</f>
        <v>0</v>
      </c>
      <c r="F566" s="693" t="e">
        <f t="shared" si="31"/>
        <v>#DIV/0!</v>
      </c>
      <c r="G566" s="191"/>
      <c r="H566" s="174"/>
    </row>
    <row r="567" spans="1:7" s="175" customFormat="1" ht="18.75" customHeight="1" hidden="1">
      <c r="A567" s="694"/>
      <c r="B567" s="695"/>
      <c r="C567" s="696" t="s">
        <v>287</v>
      </c>
      <c r="D567" s="458">
        <f>SUM(D568)</f>
        <v>0</v>
      </c>
      <c r="E567" s="458">
        <f>SUM(E568)</f>
        <v>0</v>
      </c>
      <c r="F567" s="697" t="e">
        <f>E567/D567*100</f>
        <v>#DIV/0!</v>
      </c>
      <c r="G567" s="173"/>
    </row>
    <row r="568" spans="1:7" s="175" customFormat="1" ht="24" customHeight="1" hidden="1">
      <c r="A568" s="698"/>
      <c r="B568" s="681"/>
      <c r="C568" s="699" t="s">
        <v>1367</v>
      </c>
      <c r="D568" s="683">
        <v>0</v>
      </c>
      <c r="E568" s="683">
        <v>0</v>
      </c>
      <c r="F568" s="684" t="e">
        <f>E568/D568*100</f>
        <v>#DIV/0!</v>
      </c>
      <c r="G568" s="173"/>
    </row>
    <row r="569" spans="1:8" s="548" customFormat="1" ht="39" customHeight="1">
      <c r="A569" s="690"/>
      <c r="B569" s="691" t="s">
        <v>1416</v>
      </c>
      <c r="C569" s="454" t="s">
        <v>426</v>
      </c>
      <c r="D569" s="452">
        <f>SUM(D570,D576)</f>
        <v>44689000</v>
      </c>
      <c r="E569" s="452">
        <f>SUM(E570,E576)</f>
        <v>21118286.259999998</v>
      </c>
      <c r="F569" s="693">
        <f t="shared" si="31"/>
        <v>47.25611729955917</v>
      </c>
      <c r="G569" s="173"/>
      <c r="H569" s="174"/>
    </row>
    <row r="570" spans="1:7" s="460" customFormat="1" ht="18.75" customHeight="1">
      <c r="A570" s="694"/>
      <c r="B570" s="695"/>
      <c r="C570" s="696" t="s">
        <v>185</v>
      </c>
      <c r="D570" s="458">
        <f>SUM(D571,D574,D575)</f>
        <v>31604000</v>
      </c>
      <c r="E570" s="458">
        <f>SUM(E571,E574,E575)</f>
        <v>14567678.379999999</v>
      </c>
      <c r="F570" s="697">
        <f t="shared" si="31"/>
        <v>46.09441330211365</v>
      </c>
      <c r="G570" s="700"/>
    </row>
    <row r="571" spans="1:7" s="221" customFormat="1" ht="18" customHeight="1">
      <c r="A571" s="698"/>
      <c r="B571" s="681"/>
      <c r="C571" s="699" t="s">
        <v>284</v>
      </c>
      <c r="D571" s="683">
        <f>SUM(D572,D573)</f>
        <v>30973700</v>
      </c>
      <c r="E571" s="683">
        <f>SUM(E572,E573)</f>
        <v>14241461.09</v>
      </c>
      <c r="F571" s="684">
        <f t="shared" si="31"/>
        <v>45.9792052289523</v>
      </c>
      <c r="G571" s="678"/>
    </row>
    <row r="572" spans="1:7" s="679" customFormat="1" ht="18.75" customHeight="1">
      <c r="A572" s="673"/>
      <c r="B572" s="674"/>
      <c r="C572" s="675" t="s">
        <v>285</v>
      </c>
      <c r="D572" s="676">
        <v>18873600</v>
      </c>
      <c r="E572" s="676">
        <v>7934944.64</v>
      </c>
      <c r="F572" s="677">
        <f t="shared" si="31"/>
        <v>42.04256018989488</v>
      </c>
      <c r="G572" s="678"/>
    </row>
    <row r="573" spans="1:7" s="679" customFormat="1" ht="18.75" customHeight="1">
      <c r="A573" s="673"/>
      <c r="B573" s="674"/>
      <c r="C573" s="675" t="s">
        <v>668</v>
      </c>
      <c r="D573" s="676">
        <v>12100100</v>
      </c>
      <c r="E573" s="676">
        <v>6306516.45</v>
      </c>
      <c r="F573" s="677">
        <f t="shared" si="31"/>
        <v>52.119539921157674</v>
      </c>
      <c r="G573" s="678"/>
    </row>
    <row r="574" spans="1:7" s="793" customFormat="1" ht="18.75" customHeight="1" hidden="1">
      <c r="A574" s="787"/>
      <c r="B574" s="788"/>
      <c r="C574" s="789" t="s">
        <v>304</v>
      </c>
      <c r="D574" s="790">
        <v>0</v>
      </c>
      <c r="E574" s="790">
        <v>0</v>
      </c>
      <c r="F574" s="791" t="e">
        <f t="shared" si="31"/>
        <v>#DIV/0!</v>
      </c>
      <c r="G574" s="792"/>
    </row>
    <row r="575" spans="1:7" s="221" customFormat="1" ht="18.75" customHeight="1">
      <c r="A575" s="680"/>
      <c r="B575" s="681"/>
      <c r="C575" s="682" t="s">
        <v>296</v>
      </c>
      <c r="D575" s="683">
        <v>630300</v>
      </c>
      <c r="E575" s="683">
        <v>326217.29</v>
      </c>
      <c r="F575" s="684">
        <f t="shared" si="31"/>
        <v>51.755876566714264</v>
      </c>
      <c r="G575" s="678"/>
    </row>
    <row r="576" spans="1:7" s="460" customFormat="1" ht="18.75" customHeight="1">
      <c r="A576" s="694"/>
      <c r="B576" s="695"/>
      <c r="C576" s="696" t="s">
        <v>287</v>
      </c>
      <c r="D576" s="458">
        <f>SUM(D577,D578)</f>
        <v>13085000</v>
      </c>
      <c r="E576" s="458">
        <f>SUM(E577,E578)</f>
        <v>6550607.880000001</v>
      </c>
      <c r="F576" s="697">
        <f t="shared" si="31"/>
        <v>50.06196316392817</v>
      </c>
      <c r="G576" s="700"/>
    </row>
    <row r="577" spans="1:7" s="221" customFormat="1" ht="27.75" customHeight="1">
      <c r="A577" s="698"/>
      <c r="B577" s="681"/>
      <c r="C577" s="699" t="s">
        <v>1367</v>
      </c>
      <c r="D577" s="683">
        <v>11342000</v>
      </c>
      <c r="E577" s="683">
        <v>5503469.82</v>
      </c>
      <c r="F577" s="684">
        <f t="shared" si="31"/>
        <v>48.522922059601484</v>
      </c>
      <c r="G577" s="701"/>
    </row>
    <row r="578" spans="1:7" s="97" customFormat="1" ht="18.75" customHeight="1">
      <c r="A578" s="98"/>
      <c r="B578" s="93"/>
      <c r="C578" s="99" t="s">
        <v>304</v>
      </c>
      <c r="D578" s="20">
        <v>1743000</v>
      </c>
      <c r="E578" s="20">
        <v>1047138.06</v>
      </c>
      <c r="F578" s="89">
        <f>E578/D578*100</f>
        <v>60.07676764199657</v>
      </c>
      <c r="G578" s="91"/>
    </row>
    <row r="579" spans="1:7" s="175" customFormat="1" ht="18" customHeight="1">
      <c r="A579" s="685" t="s">
        <v>1421</v>
      </c>
      <c r="B579" s="686"/>
      <c r="C579" s="687" t="s">
        <v>1422</v>
      </c>
      <c r="D579" s="688">
        <f>SUM(D580)</f>
        <v>70000</v>
      </c>
      <c r="E579" s="688">
        <f>SUM(E580)</f>
        <v>20812.69</v>
      </c>
      <c r="F579" s="689">
        <f t="shared" si="31"/>
        <v>29.73241428571428</v>
      </c>
      <c r="G579" s="173"/>
    </row>
    <row r="580" spans="1:8" s="548" customFormat="1" ht="17.25" customHeight="1">
      <c r="A580" s="690"/>
      <c r="B580" s="691" t="s">
        <v>1423</v>
      </c>
      <c r="C580" s="454" t="s">
        <v>1424</v>
      </c>
      <c r="D580" s="452">
        <f>SUM(D581,D584)</f>
        <v>70000</v>
      </c>
      <c r="E580" s="452">
        <f>SUM(E581,E584)</f>
        <v>20812.69</v>
      </c>
      <c r="F580" s="693">
        <f t="shared" si="31"/>
        <v>29.73241428571428</v>
      </c>
      <c r="G580" s="173"/>
      <c r="H580" s="174"/>
    </row>
    <row r="581" spans="1:7" s="460" customFormat="1" ht="18.75" customHeight="1">
      <c r="A581" s="694"/>
      <c r="B581" s="695"/>
      <c r="C581" s="696" t="s">
        <v>185</v>
      </c>
      <c r="D581" s="458">
        <f>SUM(D582)</f>
        <v>63400</v>
      </c>
      <c r="E581" s="458">
        <f>SUM(E582)</f>
        <v>20812.69</v>
      </c>
      <c r="F581" s="697">
        <f t="shared" si="31"/>
        <v>32.82758675078864</v>
      </c>
      <c r="G581" s="700"/>
    </row>
    <row r="582" spans="1:7" s="221" customFormat="1" ht="18" customHeight="1">
      <c r="A582" s="698"/>
      <c r="B582" s="681"/>
      <c r="C582" s="699" t="s">
        <v>284</v>
      </c>
      <c r="D582" s="683">
        <f>SUM(D583)</f>
        <v>63400</v>
      </c>
      <c r="E582" s="683">
        <f>SUM(E583)</f>
        <v>20812.69</v>
      </c>
      <c r="F582" s="684">
        <f t="shared" si="31"/>
        <v>32.82758675078864</v>
      </c>
      <c r="G582" s="678"/>
    </row>
    <row r="583" spans="1:7" s="679" customFormat="1" ht="18.75" customHeight="1">
      <c r="A583" s="673"/>
      <c r="B583" s="674"/>
      <c r="C583" s="675" t="s">
        <v>285</v>
      </c>
      <c r="D583" s="676">
        <v>63400</v>
      </c>
      <c r="E583" s="676">
        <v>20812.69</v>
      </c>
      <c r="F583" s="677">
        <f t="shared" si="31"/>
        <v>32.82758675078864</v>
      </c>
      <c r="G583" s="678"/>
    </row>
    <row r="584" spans="1:7" s="460" customFormat="1" ht="18.75" customHeight="1">
      <c r="A584" s="694"/>
      <c r="B584" s="695"/>
      <c r="C584" s="696" t="s">
        <v>287</v>
      </c>
      <c r="D584" s="458">
        <f>SUM(D585)</f>
        <v>6600</v>
      </c>
      <c r="E584" s="458">
        <f>SUM(E585)</f>
        <v>0</v>
      </c>
      <c r="F584" s="697">
        <f t="shared" si="31"/>
        <v>0</v>
      </c>
      <c r="G584" s="700"/>
    </row>
    <row r="585" spans="1:7" s="221" customFormat="1" ht="27" customHeight="1">
      <c r="A585" s="698"/>
      <c r="B585" s="681"/>
      <c r="C585" s="699" t="s">
        <v>1367</v>
      </c>
      <c r="D585" s="683">
        <v>6600</v>
      </c>
      <c r="E585" s="683">
        <v>0</v>
      </c>
      <c r="F585" s="684">
        <f t="shared" si="31"/>
        <v>0</v>
      </c>
      <c r="G585" s="701"/>
    </row>
    <row r="586" spans="1:7" s="175" customFormat="1" ht="18.75" customHeight="1">
      <c r="A586" s="685" t="s">
        <v>1425</v>
      </c>
      <c r="B586" s="686"/>
      <c r="C586" s="702" t="s">
        <v>1426</v>
      </c>
      <c r="D586" s="688">
        <f>SUM(D587,D591,D599,D607)</f>
        <v>758000</v>
      </c>
      <c r="E586" s="688">
        <f>SUM(E587,E591,E599,E607)</f>
        <v>290587.49</v>
      </c>
      <c r="F586" s="689">
        <f t="shared" si="31"/>
        <v>38.336080474934036</v>
      </c>
      <c r="G586" s="173"/>
    </row>
    <row r="587" spans="1:8" s="548" customFormat="1" ht="18.75" customHeight="1">
      <c r="A587" s="690"/>
      <c r="B587" s="691" t="s">
        <v>1427</v>
      </c>
      <c r="C587" s="703" t="s">
        <v>211</v>
      </c>
      <c r="D587" s="452">
        <f>D588</f>
        <v>80000</v>
      </c>
      <c r="E587" s="452">
        <f>E588</f>
        <v>75000</v>
      </c>
      <c r="F587" s="693">
        <f t="shared" si="31"/>
        <v>93.75</v>
      </c>
      <c r="G587" s="173"/>
      <c r="H587" s="174"/>
    </row>
    <row r="588" spans="1:7" s="460" customFormat="1" ht="18.75" customHeight="1">
      <c r="A588" s="694"/>
      <c r="B588" s="695"/>
      <c r="C588" s="696" t="s">
        <v>185</v>
      </c>
      <c r="D588" s="458">
        <f>SUM(D589)</f>
        <v>80000</v>
      </c>
      <c r="E588" s="458">
        <f>SUM(E589)</f>
        <v>75000</v>
      </c>
      <c r="F588" s="697">
        <f aca="true" t="shared" si="32" ref="F588:F629">E588/D588*100</f>
        <v>93.75</v>
      </c>
      <c r="G588" s="700"/>
    </row>
    <row r="589" spans="1:7" s="221" customFormat="1" ht="18" customHeight="1">
      <c r="A589" s="698"/>
      <c r="B589" s="681"/>
      <c r="C589" s="699" t="s">
        <v>284</v>
      </c>
      <c r="D589" s="683">
        <f>SUM(D590)</f>
        <v>80000</v>
      </c>
      <c r="E589" s="683">
        <f>SUM(E590)</f>
        <v>75000</v>
      </c>
      <c r="F589" s="684">
        <f t="shared" si="32"/>
        <v>93.75</v>
      </c>
      <c r="G589" s="678"/>
    </row>
    <row r="590" spans="1:7" s="679" customFormat="1" ht="18.75" customHeight="1">
      <c r="A590" s="673"/>
      <c r="B590" s="674"/>
      <c r="C590" s="675" t="s">
        <v>285</v>
      </c>
      <c r="D590" s="676">
        <v>80000</v>
      </c>
      <c r="E590" s="676">
        <v>75000</v>
      </c>
      <c r="F590" s="677">
        <f t="shared" si="32"/>
        <v>93.75</v>
      </c>
      <c r="G590" s="678"/>
    </row>
    <row r="591" spans="1:8" s="548" customFormat="1" ht="18.75" customHeight="1">
      <c r="A591" s="690"/>
      <c r="B591" s="691" t="s">
        <v>1428</v>
      </c>
      <c r="C591" s="454" t="s">
        <v>1429</v>
      </c>
      <c r="D591" s="452">
        <f>SUM(D592,D597)</f>
        <v>282000</v>
      </c>
      <c r="E591" s="452">
        <f>SUM(E592,E597)</f>
        <v>19836.99</v>
      </c>
      <c r="F591" s="693">
        <f t="shared" si="32"/>
        <v>7.034393617021277</v>
      </c>
      <c r="G591" s="173"/>
      <c r="H591" s="174"/>
    </row>
    <row r="592" spans="1:7" s="460" customFormat="1" ht="18.75" customHeight="1">
      <c r="A592" s="694"/>
      <c r="B592" s="695"/>
      <c r="C592" s="696" t="s">
        <v>185</v>
      </c>
      <c r="D592" s="458">
        <f>SUM(D593,D596)</f>
        <v>274000</v>
      </c>
      <c r="E592" s="458">
        <f>SUM(E593,E596)</f>
        <v>19836.99</v>
      </c>
      <c r="F592" s="697">
        <f t="shared" si="32"/>
        <v>7.2397773722627745</v>
      </c>
      <c r="G592" s="700"/>
    </row>
    <row r="593" spans="1:7" s="221" customFormat="1" ht="18" customHeight="1">
      <c r="A593" s="698"/>
      <c r="B593" s="681"/>
      <c r="C593" s="699" t="s">
        <v>284</v>
      </c>
      <c r="D593" s="683">
        <f>SUM(D594,D595)</f>
        <v>274000</v>
      </c>
      <c r="E593" s="683">
        <f>SUM(E594,E595)</f>
        <v>19836.99</v>
      </c>
      <c r="F593" s="684">
        <f t="shared" si="32"/>
        <v>7.2397773722627745</v>
      </c>
      <c r="G593" s="678"/>
    </row>
    <row r="594" spans="1:7" s="679" customFormat="1" ht="18.75" customHeight="1">
      <c r="A594" s="673"/>
      <c r="B594" s="674"/>
      <c r="C594" s="675" t="s">
        <v>285</v>
      </c>
      <c r="D594" s="676">
        <v>254300</v>
      </c>
      <c r="E594" s="676">
        <v>17324.56</v>
      </c>
      <c r="F594" s="677">
        <f t="shared" si="32"/>
        <v>6.812646480534802</v>
      </c>
      <c r="G594" s="678"/>
    </row>
    <row r="595" spans="1:7" s="679" customFormat="1" ht="18.75" customHeight="1">
      <c r="A595" s="673"/>
      <c r="B595" s="674"/>
      <c r="C595" s="675" t="s">
        <v>668</v>
      </c>
      <c r="D595" s="676">
        <v>19700</v>
      </c>
      <c r="E595" s="676">
        <v>2512.43</v>
      </c>
      <c r="F595" s="677">
        <f>E595/D595*100</f>
        <v>12.753451776649745</v>
      </c>
      <c r="G595" s="678"/>
    </row>
    <row r="596" spans="1:7" s="221" customFormat="1" ht="28.5" customHeight="1" hidden="1">
      <c r="A596" s="698"/>
      <c r="B596" s="681"/>
      <c r="C596" s="699" t="s">
        <v>1149</v>
      </c>
      <c r="D596" s="683">
        <v>0</v>
      </c>
      <c r="E596" s="683">
        <v>0</v>
      </c>
      <c r="F596" s="684" t="e">
        <f>E596/D596*100</f>
        <v>#DIV/0!</v>
      </c>
      <c r="G596" s="701"/>
    </row>
    <row r="597" spans="1:7" s="460" customFormat="1" ht="18.75" customHeight="1">
      <c r="A597" s="694"/>
      <c r="B597" s="695"/>
      <c r="C597" s="696" t="s">
        <v>287</v>
      </c>
      <c r="D597" s="458">
        <f>SUM(D598)</f>
        <v>8000</v>
      </c>
      <c r="E597" s="458">
        <f>SUM(E598)</f>
        <v>0</v>
      </c>
      <c r="F597" s="697">
        <f>E597/D597*100</f>
        <v>0</v>
      </c>
      <c r="G597" s="700"/>
    </row>
    <row r="598" spans="1:7" s="221" customFormat="1" ht="27" customHeight="1">
      <c r="A598" s="698"/>
      <c r="B598" s="681"/>
      <c r="C598" s="699" t="s">
        <v>1367</v>
      </c>
      <c r="D598" s="683">
        <v>8000</v>
      </c>
      <c r="E598" s="683">
        <v>0</v>
      </c>
      <c r="F598" s="684">
        <f>E598/D598*100</f>
        <v>0</v>
      </c>
      <c r="G598" s="701"/>
    </row>
    <row r="599" spans="1:8" s="548" customFormat="1" ht="18.75" customHeight="1">
      <c r="A599" s="704"/>
      <c r="B599" s="691" t="s">
        <v>1430</v>
      </c>
      <c r="C599" s="703" t="s">
        <v>1434</v>
      </c>
      <c r="D599" s="452">
        <f>SUM(D600,D605)</f>
        <v>396000</v>
      </c>
      <c r="E599" s="452">
        <f>SUM(E600,E605)</f>
        <v>195750.5</v>
      </c>
      <c r="F599" s="693">
        <f t="shared" si="32"/>
        <v>49.43194444444444</v>
      </c>
      <c r="G599" s="173"/>
      <c r="H599" s="174"/>
    </row>
    <row r="600" spans="1:7" s="460" customFormat="1" ht="18.75" customHeight="1">
      <c r="A600" s="694"/>
      <c r="B600" s="695"/>
      <c r="C600" s="696" t="s">
        <v>185</v>
      </c>
      <c r="D600" s="458">
        <f>SUM(D601,D604)</f>
        <v>396000</v>
      </c>
      <c r="E600" s="458">
        <f>SUM(E601,E604)</f>
        <v>195750.5</v>
      </c>
      <c r="F600" s="697">
        <f t="shared" si="32"/>
        <v>49.43194444444444</v>
      </c>
      <c r="G600" s="700"/>
    </row>
    <row r="601" spans="1:7" s="221" customFormat="1" ht="18" customHeight="1">
      <c r="A601" s="698"/>
      <c r="B601" s="681"/>
      <c r="C601" s="699" t="s">
        <v>284</v>
      </c>
      <c r="D601" s="683">
        <f>SUM(D602,D603)</f>
        <v>395062</v>
      </c>
      <c r="E601" s="683">
        <f>SUM(E602,E603)</f>
        <v>194919.46</v>
      </c>
      <c r="F601" s="684">
        <f t="shared" si="32"/>
        <v>49.338954391968855</v>
      </c>
      <c r="G601" s="678"/>
    </row>
    <row r="602" spans="1:7" s="679" customFormat="1" ht="18.75" customHeight="1">
      <c r="A602" s="673"/>
      <c r="B602" s="674"/>
      <c r="C602" s="675" t="s">
        <v>285</v>
      </c>
      <c r="D602" s="676">
        <v>37375</v>
      </c>
      <c r="E602" s="676">
        <v>19975.52</v>
      </c>
      <c r="F602" s="677">
        <f t="shared" si="32"/>
        <v>53.446207357859535</v>
      </c>
      <c r="G602" s="678"/>
    </row>
    <row r="603" spans="1:7" s="679" customFormat="1" ht="18.75" customHeight="1">
      <c r="A603" s="673"/>
      <c r="B603" s="674"/>
      <c r="C603" s="675" t="s">
        <v>668</v>
      </c>
      <c r="D603" s="676">
        <v>357687</v>
      </c>
      <c r="E603" s="676">
        <v>174943.94</v>
      </c>
      <c r="F603" s="677">
        <f t="shared" si="32"/>
        <v>48.90978425271257</v>
      </c>
      <c r="G603" s="678"/>
    </row>
    <row r="604" spans="1:7" s="221" customFormat="1" ht="18.75" customHeight="1">
      <c r="A604" s="680"/>
      <c r="B604" s="681"/>
      <c r="C604" s="682" t="s">
        <v>296</v>
      </c>
      <c r="D604" s="683">
        <v>938</v>
      </c>
      <c r="E604" s="683">
        <v>831.04</v>
      </c>
      <c r="F604" s="684">
        <f t="shared" si="32"/>
        <v>88.59701492537313</v>
      </c>
      <c r="G604" s="678"/>
    </row>
    <row r="605" spans="1:7" s="711" customFormat="1" ht="18.75" customHeight="1" hidden="1">
      <c r="A605" s="705"/>
      <c r="B605" s="706"/>
      <c r="C605" s="707" t="s">
        <v>287</v>
      </c>
      <c r="D605" s="708">
        <f>SUM(D606)</f>
        <v>0</v>
      </c>
      <c r="E605" s="708">
        <f>SUM(E606)</f>
        <v>0</v>
      </c>
      <c r="F605" s="709" t="e">
        <f>E605/D605*100</f>
        <v>#DIV/0!</v>
      </c>
      <c r="G605" s="710"/>
    </row>
    <row r="606" spans="1:7" s="718" customFormat="1" ht="26.25" customHeight="1" hidden="1">
      <c r="A606" s="712"/>
      <c r="B606" s="713"/>
      <c r="C606" s="714" t="s">
        <v>1367</v>
      </c>
      <c r="D606" s="715">
        <v>0</v>
      </c>
      <c r="E606" s="715">
        <v>0</v>
      </c>
      <c r="F606" s="716" t="e">
        <f>E606/D606*100</f>
        <v>#DIV/0!</v>
      </c>
      <c r="G606" s="717"/>
    </row>
    <row r="607" spans="1:6" ht="18.75" customHeight="1" hidden="1">
      <c r="A607" s="102"/>
      <c r="B607" s="7" t="s">
        <v>357</v>
      </c>
      <c r="C607" s="8" t="s">
        <v>1358</v>
      </c>
      <c r="D607" s="5">
        <f>SUM(D608)</f>
        <v>0</v>
      </c>
      <c r="E607" s="5">
        <f>SUM(E608)</f>
        <v>0</v>
      </c>
      <c r="F607" s="82" t="e">
        <f>E607/D607*100</f>
        <v>#DIV/0!</v>
      </c>
    </row>
    <row r="608" spans="1:7" s="18" customFormat="1" ht="18.75" customHeight="1" hidden="1">
      <c r="A608" s="83"/>
      <c r="B608" s="84"/>
      <c r="C608" s="85" t="s">
        <v>287</v>
      </c>
      <c r="D608" s="17">
        <f>SUM(D609)</f>
        <v>0</v>
      </c>
      <c r="E608" s="17">
        <f>SUM(E609)</f>
        <v>0</v>
      </c>
      <c r="F608" s="86" t="e">
        <f>E608/D608*100</f>
        <v>#DIV/0!</v>
      </c>
      <c r="G608" s="90"/>
    </row>
    <row r="609" spans="1:7" s="22" customFormat="1" ht="26.25" customHeight="1" hidden="1">
      <c r="A609" s="87"/>
      <c r="B609" s="88"/>
      <c r="C609" s="21" t="s">
        <v>1367</v>
      </c>
      <c r="D609" s="20">
        <v>0</v>
      </c>
      <c r="E609" s="20">
        <v>0</v>
      </c>
      <c r="F609" s="89" t="e">
        <f>E609/D609*100</f>
        <v>#DIV/0!</v>
      </c>
      <c r="G609" s="91"/>
    </row>
    <row r="610" spans="1:7" s="175" customFormat="1" ht="18.75" customHeight="1">
      <c r="A610" s="719" t="s">
        <v>1437</v>
      </c>
      <c r="B610" s="686"/>
      <c r="C610" s="687" t="s">
        <v>1438</v>
      </c>
      <c r="D610" s="688">
        <f>SUM(D611,D616,D621,D625)</f>
        <v>2157287</v>
      </c>
      <c r="E610" s="688">
        <f>SUM(E611,E616,E621,E625)</f>
        <v>953020.0599999999</v>
      </c>
      <c r="F610" s="689">
        <f t="shared" si="32"/>
        <v>44.17678593529744</v>
      </c>
      <c r="G610" s="173"/>
    </row>
    <row r="611" spans="1:8" s="548" customFormat="1" ht="18.75" customHeight="1">
      <c r="A611" s="704"/>
      <c r="B611" s="691" t="s">
        <v>1439</v>
      </c>
      <c r="C611" s="703" t="s">
        <v>1445</v>
      </c>
      <c r="D611" s="452">
        <f>D612</f>
        <v>82500</v>
      </c>
      <c r="E611" s="452">
        <f>E612</f>
        <v>44687</v>
      </c>
      <c r="F611" s="693">
        <f t="shared" si="32"/>
        <v>54.166060606060604</v>
      </c>
      <c r="G611" s="173"/>
      <c r="H611" s="174"/>
    </row>
    <row r="612" spans="1:7" s="460" customFormat="1" ht="18.75" customHeight="1">
      <c r="A612" s="694"/>
      <c r="B612" s="695"/>
      <c r="C612" s="696" t="s">
        <v>185</v>
      </c>
      <c r="D612" s="458">
        <f>SUM(D613)</f>
        <v>82500</v>
      </c>
      <c r="E612" s="458">
        <f>SUM(E613)</f>
        <v>44687</v>
      </c>
      <c r="F612" s="697">
        <f t="shared" si="32"/>
        <v>54.166060606060604</v>
      </c>
      <c r="G612" s="700"/>
    </row>
    <row r="613" spans="1:7" s="221" customFormat="1" ht="18" customHeight="1">
      <c r="A613" s="698"/>
      <c r="B613" s="681"/>
      <c r="C613" s="699" t="s">
        <v>284</v>
      </c>
      <c r="D613" s="683">
        <f>SUM(D614,D615)</f>
        <v>82500</v>
      </c>
      <c r="E613" s="683">
        <f>SUM(E614,E615)</f>
        <v>44687</v>
      </c>
      <c r="F613" s="684">
        <f t="shared" si="32"/>
        <v>54.166060606060604</v>
      </c>
      <c r="G613" s="678"/>
    </row>
    <row r="614" spans="1:7" s="679" customFormat="1" ht="18.75" customHeight="1" hidden="1">
      <c r="A614" s="673"/>
      <c r="B614" s="674"/>
      <c r="C614" s="675" t="s">
        <v>285</v>
      </c>
      <c r="D614" s="676">
        <v>0</v>
      </c>
      <c r="E614" s="676">
        <v>0</v>
      </c>
      <c r="F614" s="677" t="e">
        <f t="shared" si="32"/>
        <v>#DIV/0!</v>
      </c>
      <c r="G614" s="678"/>
    </row>
    <row r="615" spans="1:7" s="679" customFormat="1" ht="18.75" customHeight="1">
      <c r="A615" s="673"/>
      <c r="B615" s="674"/>
      <c r="C615" s="675" t="s">
        <v>668</v>
      </c>
      <c r="D615" s="676">
        <v>82500</v>
      </c>
      <c r="E615" s="676">
        <v>44687</v>
      </c>
      <c r="F615" s="677">
        <f t="shared" si="32"/>
        <v>54.166060606060604</v>
      </c>
      <c r="G615" s="678"/>
    </row>
    <row r="616" spans="1:8" s="548" customFormat="1" ht="18.75" customHeight="1">
      <c r="A616" s="704"/>
      <c r="B616" s="691" t="s">
        <v>1446</v>
      </c>
      <c r="C616" s="692" t="s">
        <v>1447</v>
      </c>
      <c r="D616" s="452">
        <f>D617</f>
        <v>2045787</v>
      </c>
      <c r="E616" s="452">
        <f>E617</f>
        <v>890007.2</v>
      </c>
      <c r="F616" s="693">
        <f t="shared" si="32"/>
        <v>43.50439219723265</v>
      </c>
      <c r="G616" s="173"/>
      <c r="H616" s="174"/>
    </row>
    <row r="617" spans="1:7" s="460" customFormat="1" ht="18.75" customHeight="1">
      <c r="A617" s="694"/>
      <c r="B617" s="695"/>
      <c r="C617" s="696" t="s">
        <v>185</v>
      </c>
      <c r="D617" s="458">
        <f>SUM(D618)</f>
        <v>2045787</v>
      </c>
      <c r="E617" s="458">
        <f>SUM(E618)</f>
        <v>890007.2</v>
      </c>
      <c r="F617" s="697">
        <f t="shared" si="32"/>
        <v>43.50439219723265</v>
      </c>
      <c r="G617" s="700"/>
    </row>
    <row r="618" spans="1:7" s="221" customFormat="1" ht="18" customHeight="1">
      <c r="A618" s="698"/>
      <c r="B618" s="681"/>
      <c r="C618" s="699" t="s">
        <v>284</v>
      </c>
      <c r="D618" s="683">
        <f>SUM(D619,D620)</f>
        <v>2045787</v>
      </c>
      <c r="E618" s="683">
        <f>SUM(E619,E620)</f>
        <v>890007.2</v>
      </c>
      <c r="F618" s="684">
        <f t="shared" si="32"/>
        <v>43.50439219723265</v>
      </c>
      <c r="G618" s="678"/>
    </row>
    <row r="619" spans="1:7" s="679" customFormat="1" ht="18.75" customHeight="1">
      <c r="A619" s="673"/>
      <c r="B619" s="674"/>
      <c r="C619" s="675" t="s">
        <v>285</v>
      </c>
      <c r="D619" s="676">
        <v>377470</v>
      </c>
      <c r="E619" s="676">
        <v>153219.6</v>
      </c>
      <c r="F619" s="677">
        <f t="shared" si="32"/>
        <v>40.591199300606675</v>
      </c>
      <c r="G619" s="678"/>
    </row>
    <row r="620" spans="1:7" s="679" customFormat="1" ht="18.75" customHeight="1">
      <c r="A620" s="673"/>
      <c r="B620" s="674"/>
      <c r="C620" s="675" t="s">
        <v>668</v>
      </c>
      <c r="D620" s="676">
        <v>1668317</v>
      </c>
      <c r="E620" s="676">
        <v>736787.6</v>
      </c>
      <c r="F620" s="677">
        <f t="shared" si="32"/>
        <v>44.163525277270445</v>
      </c>
      <c r="G620" s="678"/>
    </row>
    <row r="621" spans="1:8" s="729" customFormat="1" ht="18.75" customHeight="1">
      <c r="A621" s="722"/>
      <c r="B621" s="723" t="s">
        <v>1448</v>
      </c>
      <c r="C621" s="724" t="s">
        <v>219</v>
      </c>
      <c r="D621" s="725">
        <f aca="true" t="shared" si="33" ref="D621:E623">SUM(D622)</f>
        <v>8000</v>
      </c>
      <c r="E621" s="725">
        <f t="shared" si="33"/>
        <v>0</v>
      </c>
      <c r="F621" s="726">
        <f>E621/D621*100</f>
        <v>0</v>
      </c>
      <c r="G621" s="727"/>
      <c r="H621" s="728"/>
    </row>
    <row r="622" spans="1:7" s="711" customFormat="1" ht="18.75" customHeight="1">
      <c r="A622" s="705"/>
      <c r="B622" s="706"/>
      <c r="C622" s="707" t="s">
        <v>185</v>
      </c>
      <c r="D622" s="708">
        <f t="shared" si="33"/>
        <v>8000</v>
      </c>
      <c r="E622" s="708">
        <f t="shared" si="33"/>
        <v>0</v>
      </c>
      <c r="F622" s="709">
        <f>E622/D622*100</f>
        <v>0</v>
      </c>
      <c r="G622" s="710"/>
    </row>
    <row r="623" spans="1:7" s="718" customFormat="1" ht="18" customHeight="1">
      <c r="A623" s="712"/>
      <c r="B623" s="713"/>
      <c r="C623" s="714" t="s">
        <v>284</v>
      </c>
      <c r="D623" s="715">
        <f t="shared" si="33"/>
        <v>8000</v>
      </c>
      <c r="E623" s="715">
        <f t="shared" si="33"/>
        <v>0</v>
      </c>
      <c r="F623" s="716">
        <f>E623/D623*100</f>
        <v>0</v>
      </c>
      <c r="G623" s="717"/>
    </row>
    <row r="624" spans="1:7" s="735" customFormat="1" ht="18.75" customHeight="1">
      <c r="A624" s="730"/>
      <c r="B624" s="731"/>
      <c r="C624" s="732" t="s">
        <v>285</v>
      </c>
      <c r="D624" s="733">
        <v>8000</v>
      </c>
      <c r="E624" s="733">
        <v>0</v>
      </c>
      <c r="F624" s="734">
        <f>E624/D624*100</f>
        <v>0</v>
      </c>
      <c r="G624" s="717"/>
    </row>
    <row r="625" spans="1:8" s="548" customFormat="1" ht="18.75" customHeight="1">
      <c r="A625" s="704"/>
      <c r="B625" s="691" t="s">
        <v>1449</v>
      </c>
      <c r="C625" s="703" t="s">
        <v>708</v>
      </c>
      <c r="D625" s="452">
        <f>D626</f>
        <v>21000</v>
      </c>
      <c r="E625" s="452">
        <f>E626</f>
        <v>18325.86</v>
      </c>
      <c r="F625" s="693">
        <f t="shared" si="32"/>
        <v>87.266</v>
      </c>
      <c r="G625" s="173"/>
      <c r="H625" s="174"/>
    </row>
    <row r="626" spans="1:7" s="460" customFormat="1" ht="18.75" customHeight="1">
      <c r="A626" s="694"/>
      <c r="B626" s="695"/>
      <c r="C626" s="696" t="s">
        <v>185</v>
      </c>
      <c r="D626" s="458">
        <f>SUM(D627)</f>
        <v>21000</v>
      </c>
      <c r="E626" s="458">
        <f>SUM(E627)</f>
        <v>18325.86</v>
      </c>
      <c r="F626" s="697">
        <f t="shared" si="32"/>
        <v>87.266</v>
      </c>
      <c r="G626" s="700"/>
    </row>
    <row r="627" spans="1:7" s="221" customFormat="1" ht="18" customHeight="1">
      <c r="A627" s="698"/>
      <c r="B627" s="681"/>
      <c r="C627" s="699" t="s">
        <v>284</v>
      </c>
      <c r="D627" s="683">
        <f>SUM(D628,D629)</f>
        <v>21000</v>
      </c>
      <c r="E627" s="683">
        <f>SUM(E628,E629)</f>
        <v>18325.86</v>
      </c>
      <c r="F627" s="684">
        <f t="shared" si="32"/>
        <v>87.266</v>
      </c>
      <c r="G627" s="678"/>
    </row>
    <row r="628" spans="1:7" s="679" customFormat="1" ht="18.75" customHeight="1">
      <c r="A628" s="673"/>
      <c r="B628" s="674"/>
      <c r="C628" s="675" t="s">
        <v>285</v>
      </c>
      <c r="D628" s="676">
        <v>11063</v>
      </c>
      <c r="E628" s="676">
        <v>8389.26</v>
      </c>
      <c r="F628" s="677">
        <f t="shared" si="32"/>
        <v>75.83169122299557</v>
      </c>
      <c r="G628" s="678"/>
    </row>
    <row r="629" spans="1:7" s="679" customFormat="1" ht="18.75" customHeight="1">
      <c r="A629" s="673"/>
      <c r="B629" s="674"/>
      <c r="C629" s="675" t="s">
        <v>668</v>
      </c>
      <c r="D629" s="676">
        <v>9937</v>
      </c>
      <c r="E629" s="676">
        <v>9936.6</v>
      </c>
      <c r="F629" s="677">
        <f t="shared" si="32"/>
        <v>99.99597464023347</v>
      </c>
      <c r="G629" s="678"/>
    </row>
    <row r="630" spans="1:8" s="721" customFormat="1" ht="27.75" customHeight="1">
      <c r="A630" s="720" t="s">
        <v>1452</v>
      </c>
      <c r="B630" s="686"/>
      <c r="C630" s="702" t="s">
        <v>248</v>
      </c>
      <c r="D630" s="688">
        <f>SUM(D631,D636,D639,D648)</f>
        <v>4445113</v>
      </c>
      <c r="E630" s="688">
        <f>SUM(E631,E636,E639,E648)</f>
        <v>2314815.37</v>
      </c>
      <c r="F630" s="689">
        <f aca="true" t="shared" si="34" ref="F630:F640">E630/D630*100</f>
        <v>52.07551236605234</v>
      </c>
      <c r="G630" s="678"/>
      <c r="H630" s="221"/>
    </row>
    <row r="631" spans="1:8" s="721" customFormat="1" ht="18.75" customHeight="1">
      <c r="A631" s="704"/>
      <c r="B631" s="691" t="s">
        <v>681</v>
      </c>
      <c r="C631" s="692" t="s">
        <v>682</v>
      </c>
      <c r="D631" s="452">
        <f>SUM(D632,D635)</f>
        <v>165000</v>
      </c>
      <c r="E631" s="452">
        <f>SUM(E632,E635)</f>
        <v>130000</v>
      </c>
      <c r="F631" s="693">
        <f t="shared" si="34"/>
        <v>78.78787878787878</v>
      </c>
      <c r="G631" s="678"/>
      <c r="H631" s="221"/>
    </row>
    <row r="632" spans="1:7" s="460" customFormat="1" ht="18.75" customHeight="1">
      <c r="A632" s="694"/>
      <c r="B632" s="695"/>
      <c r="C632" s="696" t="s">
        <v>185</v>
      </c>
      <c r="D632" s="458">
        <f>SUM(D633)</f>
        <v>130000</v>
      </c>
      <c r="E632" s="458">
        <f>SUM(E633)</f>
        <v>130000</v>
      </c>
      <c r="F632" s="697">
        <f t="shared" si="34"/>
        <v>100</v>
      </c>
      <c r="G632" s="700"/>
    </row>
    <row r="633" spans="1:7" s="221" customFormat="1" ht="29.25" customHeight="1">
      <c r="A633" s="680"/>
      <c r="B633" s="681"/>
      <c r="C633" s="699" t="s">
        <v>1150</v>
      </c>
      <c r="D633" s="683">
        <v>130000</v>
      </c>
      <c r="E633" s="683">
        <v>130000</v>
      </c>
      <c r="F633" s="684">
        <f>E633/D633*100</f>
        <v>100</v>
      </c>
      <c r="G633" s="701"/>
    </row>
    <row r="634" spans="1:7" s="18" customFormat="1" ht="18.75" customHeight="1">
      <c r="A634" s="83"/>
      <c r="B634" s="84"/>
      <c r="C634" s="85" t="s">
        <v>287</v>
      </c>
      <c r="D634" s="17">
        <f>SUM(D635)</f>
        <v>35000</v>
      </c>
      <c r="E634" s="17">
        <f>SUM(E635)</f>
        <v>0</v>
      </c>
      <c r="F634" s="86">
        <f>E634/D634*100</f>
        <v>0</v>
      </c>
      <c r="G634" s="90"/>
    </row>
    <row r="635" spans="1:7" s="22" customFormat="1" ht="27.75" customHeight="1">
      <c r="A635" s="87"/>
      <c r="B635" s="88"/>
      <c r="C635" s="21" t="s">
        <v>1367</v>
      </c>
      <c r="D635" s="20">
        <v>35000</v>
      </c>
      <c r="E635" s="20">
        <v>0</v>
      </c>
      <c r="F635" s="89">
        <f>E635/D635*100</f>
        <v>0</v>
      </c>
      <c r="G635" s="101"/>
    </row>
    <row r="636" spans="1:8" s="737" customFormat="1" ht="18.75" customHeight="1" hidden="1">
      <c r="A636" s="704"/>
      <c r="B636" s="691" t="s">
        <v>1345</v>
      </c>
      <c r="C636" s="454" t="s">
        <v>1346</v>
      </c>
      <c r="D636" s="452">
        <f>SUM(D637)</f>
        <v>0</v>
      </c>
      <c r="E636" s="452">
        <f>SUM(E637)</f>
        <v>0</v>
      </c>
      <c r="F636" s="693" t="e">
        <f t="shared" si="34"/>
        <v>#DIV/0!</v>
      </c>
      <c r="G636" s="173"/>
      <c r="H636" s="736"/>
    </row>
    <row r="637" spans="1:7" s="460" customFormat="1" ht="18.75" customHeight="1" hidden="1">
      <c r="A637" s="694"/>
      <c r="B637" s="695"/>
      <c r="C637" s="696" t="s">
        <v>185</v>
      </c>
      <c r="D637" s="458">
        <f>SUM(D638)</f>
        <v>0</v>
      </c>
      <c r="E637" s="458">
        <f>SUM(E638)</f>
        <v>0</v>
      </c>
      <c r="F637" s="697" t="e">
        <f>E637/D637*100</f>
        <v>#DIV/0!</v>
      </c>
      <c r="G637" s="700"/>
    </row>
    <row r="638" spans="1:7" s="221" customFormat="1" ht="27.75" customHeight="1" hidden="1">
      <c r="A638" s="680"/>
      <c r="B638" s="681"/>
      <c r="C638" s="699" t="s">
        <v>1150</v>
      </c>
      <c r="D638" s="683">
        <v>0</v>
      </c>
      <c r="E638" s="683">
        <v>0</v>
      </c>
      <c r="F638" s="684" t="e">
        <f>E638/D638*100</f>
        <v>#DIV/0!</v>
      </c>
      <c r="G638" s="701"/>
    </row>
    <row r="639" spans="1:8" s="721" customFormat="1" ht="18.75" customHeight="1">
      <c r="A639" s="704"/>
      <c r="B639" s="691" t="s">
        <v>1453</v>
      </c>
      <c r="C639" s="454" t="s">
        <v>221</v>
      </c>
      <c r="D639" s="452">
        <f>SUM(D640,D647)</f>
        <v>4280113</v>
      </c>
      <c r="E639" s="452">
        <f>SUM(E640,E647)</f>
        <v>2184815.37</v>
      </c>
      <c r="F639" s="693">
        <f t="shared" si="34"/>
        <v>51.04574038115349</v>
      </c>
      <c r="G639" s="678"/>
      <c r="H639" s="221"/>
    </row>
    <row r="640" spans="1:7" s="460" customFormat="1" ht="18.75" customHeight="1">
      <c r="A640" s="694"/>
      <c r="B640" s="695"/>
      <c r="C640" s="696" t="s">
        <v>185</v>
      </c>
      <c r="D640" s="458">
        <f>SUM(D641,D644,D645)</f>
        <v>4200113</v>
      </c>
      <c r="E640" s="458">
        <f>SUM(E641,E644,E645)</f>
        <v>2184815.37</v>
      </c>
      <c r="F640" s="697">
        <f t="shared" si="34"/>
        <v>52.01801403914609</v>
      </c>
      <c r="G640" s="700"/>
    </row>
    <row r="641" spans="1:7" s="221" customFormat="1" ht="18" customHeight="1">
      <c r="A641" s="698"/>
      <c r="B641" s="681"/>
      <c r="C641" s="699" t="s">
        <v>284</v>
      </c>
      <c r="D641" s="683">
        <f>SUM(D642,D643)</f>
        <v>3978113</v>
      </c>
      <c r="E641" s="683">
        <f>SUM(E642,E643)</f>
        <v>2067407.43</v>
      </c>
      <c r="F641" s="684">
        <f aca="true" t="shared" si="35" ref="F641:F692">E641/D641*100</f>
        <v>51.969550135956425</v>
      </c>
      <c r="G641" s="678"/>
    </row>
    <row r="642" spans="1:7" s="679" customFormat="1" ht="18.75" customHeight="1">
      <c r="A642" s="673"/>
      <c r="B642" s="674"/>
      <c r="C642" s="675" t="s">
        <v>668</v>
      </c>
      <c r="D642" s="676">
        <v>3514239</v>
      </c>
      <c r="E642" s="676">
        <v>1719933.17</v>
      </c>
      <c r="F642" s="677">
        <f t="shared" si="35"/>
        <v>48.94183833256645</v>
      </c>
      <c r="G642" s="678"/>
    </row>
    <row r="643" spans="1:7" s="679" customFormat="1" ht="18.75" customHeight="1">
      <c r="A643" s="673"/>
      <c r="B643" s="674"/>
      <c r="C643" s="675" t="s">
        <v>285</v>
      </c>
      <c r="D643" s="676">
        <v>463874</v>
      </c>
      <c r="E643" s="676">
        <v>347474.26</v>
      </c>
      <c r="F643" s="677">
        <f t="shared" si="35"/>
        <v>74.90703510004873</v>
      </c>
      <c r="G643" s="678"/>
    </row>
    <row r="644" spans="1:7" s="221" customFormat="1" ht="18.75" customHeight="1">
      <c r="A644" s="680"/>
      <c r="B644" s="681"/>
      <c r="C644" s="682" t="s">
        <v>296</v>
      </c>
      <c r="D644" s="683">
        <v>180000</v>
      </c>
      <c r="E644" s="683">
        <v>117407.94</v>
      </c>
      <c r="F644" s="684">
        <f t="shared" si="35"/>
        <v>65.22663333333334</v>
      </c>
      <c r="G644" s="678"/>
    </row>
    <row r="645" spans="1:7" s="221" customFormat="1" ht="29.25" customHeight="1">
      <c r="A645" s="680"/>
      <c r="B645" s="681"/>
      <c r="C645" s="699" t="s">
        <v>1150</v>
      </c>
      <c r="D645" s="683">
        <v>42000</v>
      </c>
      <c r="E645" s="683">
        <v>0</v>
      </c>
      <c r="F645" s="684">
        <f t="shared" si="35"/>
        <v>0</v>
      </c>
      <c r="G645" s="678"/>
    </row>
    <row r="646" spans="1:7" s="18" customFormat="1" ht="18.75" customHeight="1">
      <c r="A646" s="83"/>
      <c r="B646" s="84"/>
      <c r="C646" s="85" t="s">
        <v>287</v>
      </c>
      <c r="D646" s="17">
        <f>SUM(D647)</f>
        <v>80000</v>
      </c>
      <c r="E646" s="17">
        <f>SUM(E647)</f>
        <v>0</v>
      </c>
      <c r="F646" s="86">
        <f t="shared" si="35"/>
        <v>0</v>
      </c>
      <c r="G646" s="90"/>
    </row>
    <row r="647" spans="1:7" s="22" customFormat="1" ht="25.5" customHeight="1">
      <c r="A647" s="87"/>
      <c r="B647" s="88"/>
      <c r="C647" s="21" t="s">
        <v>1367</v>
      </c>
      <c r="D647" s="20">
        <v>80000</v>
      </c>
      <c r="E647" s="20">
        <v>0</v>
      </c>
      <c r="F647" s="89">
        <f t="shared" si="35"/>
        <v>0</v>
      </c>
      <c r="G647" s="101"/>
    </row>
    <row r="648" spans="1:8" s="103" customFormat="1" ht="18.75" customHeight="1" hidden="1">
      <c r="A648" s="102"/>
      <c r="B648" s="7" t="s">
        <v>687</v>
      </c>
      <c r="C648" s="19" t="s">
        <v>688</v>
      </c>
      <c r="D648" s="5">
        <f aca="true" t="shared" si="36" ref="D648:E650">SUM(D649)</f>
        <v>0</v>
      </c>
      <c r="E648" s="5">
        <f t="shared" si="36"/>
        <v>0</v>
      </c>
      <c r="F648" s="82" t="e">
        <f t="shared" si="35"/>
        <v>#DIV/0!</v>
      </c>
      <c r="G648" s="91"/>
      <c r="H648" s="22"/>
    </row>
    <row r="649" spans="1:7" s="18" customFormat="1" ht="18.75" customHeight="1" hidden="1">
      <c r="A649" s="83"/>
      <c r="B649" s="84"/>
      <c r="C649" s="85" t="s">
        <v>185</v>
      </c>
      <c r="D649" s="17">
        <f t="shared" si="36"/>
        <v>0</v>
      </c>
      <c r="E649" s="17">
        <f t="shared" si="36"/>
        <v>0</v>
      </c>
      <c r="F649" s="86" t="e">
        <f t="shared" si="35"/>
        <v>#DIV/0!</v>
      </c>
      <c r="G649" s="90"/>
    </row>
    <row r="650" spans="1:7" s="22" customFormat="1" ht="18" customHeight="1" hidden="1">
      <c r="A650" s="87"/>
      <c r="B650" s="88"/>
      <c r="C650" s="21" t="s">
        <v>284</v>
      </c>
      <c r="D650" s="20">
        <f t="shared" si="36"/>
        <v>0</v>
      </c>
      <c r="E650" s="20">
        <f t="shared" si="36"/>
        <v>0</v>
      </c>
      <c r="F650" s="89" t="e">
        <f>E650/D650*100</f>
        <v>#DIV/0!</v>
      </c>
      <c r="G650" s="91"/>
    </row>
    <row r="651" spans="1:7" s="97" customFormat="1" ht="18.75" customHeight="1" hidden="1">
      <c r="A651" s="92"/>
      <c r="B651" s="93"/>
      <c r="C651" s="94" t="s">
        <v>285</v>
      </c>
      <c r="D651" s="95">
        <v>0</v>
      </c>
      <c r="E651" s="95">
        <v>0</v>
      </c>
      <c r="F651" s="96" t="e">
        <f>E651/D651*100</f>
        <v>#DIV/0!</v>
      </c>
      <c r="G651" s="91"/>
    </row>
    <row r="652" spans="1:7" s="174" customFormat="1" ht="18.75" customHeight="1">
      <c r="A652" s="719" t="s">
        <v>1459</v>
      </c>
      <c r="B652" s="686"/>
      <c r="C652" s="687" t="s">
        <v>1460</v>
      </c>
      <c r="D652" s="688">
        <f>SUM(D653,D658,D663,D672,D682,D687,D693,D697)</f>
        <v>18358896</v>
      </c>
      <c r="E652" s="688">
        <f>SUM(E653,E658,E663,E672,E682,E687,E693,E697)</f>
        <v>7667886.04</v>
      </c>
      <c r="F652" s="689">
        <f t="shared" si="35"/>
        <v>41.76659664066946</v>
      </c>
      <c r="G652" s="173"/>
    </row>
    <row r="653" spans="1:8" s="721" customFormat="1" ht="18.75" customHeight="1">
      <c r="A653" s="704"/>
      <c r="B653" s="691" t="s">
        <v>706</v>
      </c>
      <c r="C653" s="692" t="s">
        <v>707</v>
      </c>
      <c r="D653" s="452">
        <f>SUM(D654)</f>
        <v>951939</v>
      </c>
      <c r="E653" s="452">
        <f>E654</f>
        <v>484211.47000000003</v>
      </c>
      <c r="F653" s="693">
        <f t="shared" si="35"/>
        <v>50.86580862849406</v>
      </c>
      <c r="G653" s="678"/>
      <c r="H653" s="221"/>
    </row>
    <row r="654" spans="1:7" s="460" customFormat="1" ht="18.75" customHeight="1">
      <c r="A654" s="694"/>
      <c r="B654" s="695"/>
      <c r="C654" s="696" t="s">
        <v>185</v>
      </c>
      <c r="D654" s="458">
        <f>SUM(D655)</f>
        <v>951939</v>
      </c>
      <c r="E654" s="458">
        <f>SUM(E655)</f>
        <v>484211.47000000003</v>
      </c>
      <c r="F654" s="697">
        <f t="shared" si="35"/>
        <v>50.86580862849406</v>
      </c>
      <c r="G654" s="700"/>
    </row>
    <row r="655" spans="1:7" s="221" customFormat="1" ht="18" customHeight="1">
      <c r="A655" s="698"/>
      <c r="B655" s="681"/>
      <c r="C655" s="699" t="s">
        <v>284</v>
      </c>
      <c r="D655" s="683">
        <f>SUM(D656,D657)</f>
        <v>951939</v>
      </c>
      <c r="E655" s="683">
        <f>SUM(E656,E657)</f>
        <v>484211.47000000003</v>
      </c>
      <c r="F655" s="684">
        <f t="shared" si="35"/>
        <v>50.86580862849406</v>
      </c>
      <c r="G655" s="678"/>
    </row>
    <row r="656" spans="1:7" s="679" customFormat="1" ht="18.75" customHeight="1">
      <c r="A656" s="673"/>
      <c r="B656" s="674"/>
      <c r="C656" s="675" t="s">
        <v>668</v>
      </c>
      <c r="D656" s="676">
        <v>826269</v>
      </c>
      <c r="E656" s="676">
        <v>402618.33</v>
      </c>
      <c r="F656" s="677">
        <f t="shared" si="35"/>
        <v>48.72727041677711</v>
      </c>
      <c r="G656" s="678"/>
    </row>
    <row r="657" spans="1:7" s="679" customFormat="1" ht="18.75" customHeight="1">
      <c r="A657" s="673"/>
      <c r="B657" s="674"/>
      <c r="C657" s="675" t="s">
        <v>285</v>
      </c>
      <c r="D657" s="676">
        <v>125670</v>
      </c>
      <c r="E657" s="676">
        <v>81593.14</v>
      </c>
      <c r="F657" s="677">
        <f t="shared" si="35"/>
        <v>64.92650592822471</v>
      </c>
      <c r="G657" s="678"/>
    </row>
    <row r="658" spans="1:8" s="721" customFormat="1" ht="18.75" customHeight="1">
      <c r="A658" s="704"/>
      <c r="B658" s="691" t="s">
        <v>715</v>
      </c>
      <c r="C658" s="692" t="s">
        <v>716</v>
      </c>
      <c r="D658" s="452">
        <f>D659</f>
        <v>662312</v>
      </c>
      <c r="E658" s="452">
        <f>E659</f>
        <v>367782.02</v>
      </c>
      <c r="F658" s="693">
        <f t="shared" si="35"/>
        <v>55.53002512411069</v>
      </c>
      <c r="G658" s="678"/>
      <c r="H658" s="221"/>
    </row>
    <row r="659" spans="1:7" s="460" customFormat="1" ht="18.75" customHeight="1">
      <c r="A659" s="694"/>
      <c r="B659" s="695"/>
      <c r="C659" s="696" t="s">
        <v>185</v>
      </c>
      <c r="D659" s="458">
        <f>SUM(D660)</f>
        <v>662312</v>
      </c>
      <c r="E659" s="458">
        <f>SUM(E660)</f>
        <v>367782.02</v>
      </c>
      <c r="F659" s="697">
        <f t="shared" si="35"/>
        <v>55.53002512411069</v>
      </c>
      <c r="G659" s="700"/>
    </row>
    <row r="660" spans="1:7" s="221" customFormat="1" ht="18" customHeight="1">
      <c r="A660" s="698"/>
      <c r="B660" s="681"/>
      <c r="C660" s="699" t="s">
        <v>284</v>
      </c>
      <c r="D660" s="683">
        <f>SUM(D661,D662)</f>
        <v>662312</v>
      </c>
      <c r="E660" s="683">
        <f>SUM(E661,E662)</f>
        <v>367782.02</v>
      </c>
      <c r="F660" s="684">
        <f t="shared" si="35"/>
        <v>55.53002512411069</v>
      </c>
      <c r="G660" s="678"/>
    </row>
    <row r="661" spans="1:7" s="679" customFormat="1" ht="18.75" customHeight="1">
      <c r="A661" s="673"/>
      <c r="B661" s="674"/>
      <c r="C661" s="675" t="s">
        <v>668</v>
      </c>
      <c r="D661" s="676">
        <v>589326</v>
      </c>
      <c r="E661" s="676">
        <v>327036.33</v>
      </c>
      <c r="F661" s="677">
        <f t="shared" si="35"/>
        <v>55.49328045937223</v>
      </c>
      <c r="G661" s="678"/>
    </row>
    <row r="662" spans="1:7" s="679" customFormat="1" ht="18.75" customHeight="1">
      <c r="A662" s="673"/>
      <c r="B662" s="674"/>
      <c r="C662" s="675" t="s">
        <v>285</v>
      </c>
      <c r="D662" s="676">
        <v>72986</v>
      </c>
      <c r="E662" s="676">
        <v>40745.69</v>
      </c>
      <c r="F662" s="677">
        <f t="shared" si="35"/>
        <v>55.82672019291371</v>
      </c>
      <c r="G662" s="678"/>
    </row>
    <row r="663" spans="1:8" s="721" customFormat="1" ht="18.75" customHeight="1">
      <c r="A663" s="704"/>
      <c r="B663" s="691" t="s">
        <v>1465</v>
      </c>
      <c r="C663" s="692" t="s">
        <v>717</v>
      </c>
      <c r="D663" s="452">
        <f>SUM(D664,D670)</f>
        <v>6686227</v>
      </c>
      <c r="E663" s="452">
        <f>SUM(E664,E670)</f>
        <v>2599053.82</v>
      </c>
      <c r="F663" s="693">
        <f t="shared" si="35"/>
        <v>38.871755625407275</v>
      </c>
      <c r="G663" s="678"/>
      <c r="H663" s="221"/>
    </row>
    <row r="664" spans="1:7" s="460" customFormat="1" ht="18.75" customHeight="1">
      <c r="A664" s="694"/>
      <c r="B664" s="695"/>
      <c r="C664" s="696" t="s">
        <v>185</v>
      </c>
      <c r="D664" s="458">
        <f>SUM(D665,D668,D669)</f>
        <v>5444227</v>
      </c>
      <c r="E664" s="458">
        <f>SUM(E665,E668,E669)</f>
        <v>2593320.48</v>
      </c>
      <c r="F664" s="697">
        <f t="shared" si="35"/>
        <v>47.63431943598237</v>
      </c>
      <c r="G664" s="700"/>
    </row>
    <row r="665" spans="1:7" s="221" customFormat="1" ht="18" customHeight="1">
      <c r="A665" s="698"/>
      <c r="B665" s="681"/>
      <c r="C665" s="699" t="s">
        <v>284</v>
      </c>
      <c r="D665" s="683">
        <f>SUM(D666,D667)</f>
        <v>4082091</v>
      </c>
      <c r="E665" s="683">
        <f>SUM(E666,E667)</f>
        <v>1993713.72</v>
      </c>
      <c r="F665" s="684">
        <f t="shared" si="35"/>
        <v>48.84050159587329</v>
      </c>
      <c r="G665" s="678"/>
    </row>
    <row r="666" spans="1:7" s="679" customFormat="1" ht="18.75" customHeight="1">
      <c r="A666" s="673"/>
      <c r="B666" s="674"/>
      <c r="C666" s="675" t="s">
        <v>668</v>
      </c>
      <c r="D666" s="676">
        <v>3493442</v>
      </c>
      <c r="E666" s="676">
        <v>1649114.21</v>
      </c>
      <c r="F666" s="677">
        <f t="shared" si="35"/>
        <v>47.20599941261369</v>
      </c>
      <c r="G666" s="678"/>
    </row>
    <row r="667" spans="1:7" s="679" customFormat="1" ht="18.75" customHeight="1">
      <c r="A667" s="673"/>
      <c r="B667" s="674"/>
      <c r="C667" s="675" t="s">
        <v>285</v>
      </c>
      <c r="D667" s="676">
        <v>588649</v>
      </c>
      <c r="E667" s="676">
        <v>344599.51</v>
      </c>
      <c r="F667" s="677">
        <f t="shared" si="35"/>
        <v>58.54074499404569</v>
      </c>
      <c r="G667" s="678"/>
    </row>
    <row r="668" spans="1:7" s="221" customFormat="1" ht="18.75" customHeight="1">
      <c r="A668" s="680"/>
      <c r="B668" s="681"/>
      <c r="C668" s="699" t="s">
        <v>286</v>
      </c>
      <c r="D668" s="683">
        <v>1354886</v>
      </c>
      <c r="E668" s="683">
        <v>596883.84</v>
      </c>
      <c r="F668" s="684">
        <f t="shared" si="35"/>
        <v>44.05417429953516</v>
      </c>
      <c r="G668" s="701"/>
    </row>
    <row r="669" spans="1:7" s="221" customFormat="1" ht="18.75" customHeight="1">
      <c r="A669" s="680"/>
      <c r="B669" s="681"/>
      <c r="C669" s="682" t="s">
        <v>296</v>
      </c>
      <c r="D669" s="683">
        <v>7250</v>
      </c>
      <c r="E669" s="683">
        <v>2722.92</v>
      </c>
      <c r="F669" s="684">
        <f t="shared" si="35"/>
        <v>37.557517241379315</v>
      </c>
      <c r="G669" s="678"/>
    </row>
    <row r="670" spans="1:7" s="711" customFormat="1" ht="18.75" customHeight="1">
      <c r="A670" s="705"/>
      <c r="B670" s="706"/>
      <c r="C670" s="1490" t="s">
        <v>287</v>
      </c>
      <c r="D670" s="1491">
        <f>SUM(D671)</f>
        <v>1242000</v>
      </c>
      <c r="E670" s="1491">
        <f>SUM(E671)</f>
        <v>5733.34</v>
      </c>
      <c r="F670" s="1492">
        <f t="shared" si="35"/>
        <v>0.461621578099839</v>
      </c>
      <c r="G670" s="710"/>
    </row>
    <row r="671" spans="1:7" s="718" customFormat="1" ht="28.5" customHeight="1">
      <c r="A671" s="712"/>
      <c r="B671" s="713"/>
      <c r="C671" s="1489" t="s">
        <v>304</v>
      </c>
      <c r="D671" s="20">
        <v>1242000</v>
      </c>
      <c r="E671" s="20">
        <v>5733.34</v>
      </c>
      <c r="F671" s="89">
        <f>E671/D671*100</f>
        <v>0.461621578099839</v>
      </c>
      <c r="G671" s="738"/>
    </row>
    <row r="672" spans="1:8" s="721" customFormat="1" ht="18.75" customHeight="1">
      <c r="A672" s="704"/>
      <c r="B672" s="691" t="s">
        <v>1466</v>
      </c>
      <c r="C672" s="692" t="s">
        <v>1467</v>
      </c>
      <c r="D672" s="452">
        <f>SUM(D673,D680)</f>
        <v>8918460</v>
      </c>
      <c r="E672" s="452">
        <f>SUM(E673,E680)</f>
        <v>3750290.45</v>
      </c>
      <c r="F672" s="693">
        <f t="shared" si="35"/>
        <v>42.05087481471016</v>
      </c>
      <c r="G672" s="678"/>
      <c r="H672" s="221"/>
    </row>
    <row r="673" spans="1:7" s="460" customFormat="1" ht="18.75" customHeight="1">
      <c r="A673" s="694"/>
      <c r="B673" s="695"/>
      <c r="C673" s="696" t="s">
        <v>185</v>
      </c>
      <c r="D673" s="458">
        <f>SUM(D674,D677,D678,D679)</f>
        <v>8811863</v>
      </c>
      <c r="E673" s="458">
        <f>SUM(E674,E677,E678,E679)</f>
        <v>3750290.45</v>
      </c>
      <c r="F673" s="697">
        <f t="shared" si="35"/>
        <v>42.559563738110775</v>
      </c>
      <c r="G673" s="700"/>
    </row>
    <row r="674" spans="1:7" s="221" customFormat="1" ht="18" customHeight="1">
      <c r="A674" s="698"/>
      <c r="B674" s="681"/>
      <c r="C674" s="699" t="s">
        <v>284</v>
      </c>
      <c r="D674" s="683">
        <f>SUM(D675,D676)</f>
        <v>6550078</v>
      </c>
      <c r="E674" s="683">
        <f>SUM(E675,E676)</f>
        <v>3410682.12</v>
      </c>
      <c r="F674" s="684">
        <f t="shared" si="35"/>
        <v>52.070862667589616</v>
      </c>
      <c r="G674" s="678"/>
    </row>
    <row r="675" spans="1:7" s="679" customFormat="1" ht="18.75" customHeight="1">
      <c r="A675" s="673"/>
      <c r="B675" s="674"/>
      <c r="C675" s="675" t="s">
        <v>668</v>
      </c>
      <c r="D675" s="676">
        <v>5285377</v>
      </c>
      <c r="E675" s="676">
        <v>2726771.56</v>
      </c>
      <c r="F675" s="677">
        <f t="shared" si="35"/>
        <v>51.59086210879564</v>
      </c>
      <c r="G675" s="678"/>
    </row>
    <row r="676" spans="1:7" s="679" customFormat="1" ht="18.75" customHeight="1">
      <c r="A676" s="673"/>
      <c r="B676" s="674"/>
      <c r="C676" s="675" t="s">
        <v>285</v>
      </c>
      <c r="D676" s="676">
        <v>1264701</v>
      </c>
      <c r="E676" s="676">
        <v>683910.56</v>
      </c>
      <c r="F676" s="677">
        <f t="shared" si="35"/>
        <v>54.07685769205528</v>
      </c>
      <c r="G676" s="678"/>
    </row>
    <row r="677" spans="1:7" s="221" customFormat="1" ht="18.75" customHeight="1">
      <c r="A677" s="680"/>
      <c r="B677" s="681"/>
      <c r="C677" s="699" t="s">
        <v>286</v>
      </c>
      <c r="D677" s="683">
        <v>2253785</v>
      </c>
      <c r="E677" s="683">
        <v>338711.83</v>
      </c>
      <c r="F677" s="684">
        <f t="shared" si="35"/>
        <v>15.028577703729503</v>
      </c>
      <c r="G677" s="701"/>
    </row>
    <row r="678" spans="1:7" s="221" customFormat="1" ht="18.75" customHeight="1">
      <c r="A678" s="680"/>
      <c r="B678" s="681"/>
      <c r="C678" s="682" t="s">
        <v>296</v>
      </c>
      <c r="D678" s="683">
        <v>8000</v>
      </c>
      <c r="E678" s="683">
        <v>896.5</v>
      </c>
      <c r="F678" s="684">
        <f t="shared" si="35"/>
        <v>11.206249999999999</v>
      </c>
      <c r="G678" s="678"/>
    </row>
    <row r="679" spans="1:7" s="22" customFormat="1" ht="18.75" customHeight="1" hidden="1">
      <c r="A679" s="100"/>
      <c r="B679" s="88"/>
      <c r="C679" s="99" t="s">
        <v>304</v>
      </c>
      <c r="D679" s="20">
        <v>0</v>
      </c>
      <c r="E679" s="20">
        <v>0</v>
      </c>
      <c r="F679" s="89" t="e">
        <f>E679/D679*100</f>
        <v>#DIV/0!</v>
      </c>
      <c r="G679" s="91"/>
    </row>
    <row r="680" spans="1:7" s="711" customFormat="1" ht="18.75" customHeight="1">
      <c r="A680" s="705"/>
      <c r="B680" s="706"/>
      <c r="C680" s="707" t="s">
        <v>287</v>
      </c>
      <c r="D680" s="708">
        <f>SUM(D681)</f>
        <v>106597</v>
      </c>
      <c r="E680" s="708">
        <f>SUM(E681)</f>
        <v>0</v>
      </c>
      <c r="F680" s="709">
        <f>E680/D680*100</f>
        <v>0</v>
      </c>
      <c r="G680" s="710"/>
    </row>
    <row r="681" spans="1:7" s="718" customFormat="1" ht="28.5" customHeight="1">
      <c r="A681" s="712"/>
      <c r="B681" s="713"/>
      <c r="C681" s="714" t="s">
        <v>1367</v>
      </c>
      <c r="D681" s="715">
        <v>106597</v>
      </c>
      <c r="E681" s="715">
        <v>0</v>
      </c>
      <c r="F681" s="716">
        <f>E681/D681*100</f>
        <v>0</v>
      </c>
      <c r="G681" s="738"/>
    </row>
    <row r="682" spans="1:8" s="721" customFormat="1" ht="18.75" customHeight="1">
      <c r="A682" s="704"/>
      <c r="B682" s="691" t="s">
        <v>718</v>
      </c>
      <c r="C682" s="692" t="s">
        <v>719</v>
      </c>
      <c r="D682" s="452">
        <f>SUM(D683)</f>
        <v>791565</v>
      </c>
      <c r="E682" s="452">
        <f>SUM(E683)</f>
        <v>323864.88999999996</v>
      </c>
      <c r="F682" s="693">
        <f t="shared" si="35"/>
        <v>40.914503546771265</v>
      </c>
      <c r="G682" s="678"/>
      <c r="H682" s="221"/>
    </row>
    <row r="683" spans="1:7" s="460" customFormat="1" ht="18.75" customHeight="1">
      <c r="A683" s="694"/>
      <c r="B683" s="695"/>
      <c r="C683" s="696" t="s">
        <v>185</v>
      </c>
      <c r="D683" s="458">
        <f>SUM(D684)</f>
        <v>791565</v>
      </c>
      <c r="E683" s="458">
        <f>SUM(E684)</f>
        <v>323864.88999999996</v>
      </c>
      <c r="F683" s="697">
        <f t="shared" si="35"/>
        <v>40.914503546771265</v>
      </c>
      <c r="G683" s="700"/>
    </row>
    <row r="684" spans="1:7" s="221" customFormat="1" ht="18" customHeight="1">
      <c r="A684" s="698"/>
      <c r="B684" s="681"/>
      <c r="C684" s="699" t="s">
        <v>284</v>
      </c>
      <c r="D684" s="683">
        <f>SUM(D685,D686)</f>
        <v>791565</v>
      </c>
      <c r="E684" s="683">
        <f>SUM(E685,E686)</f>
        <v>323864.88999999996</v>
      </c>
      <c r="F684" s="684">
        <f t="shared" si="35"/>
        <v>40.914503546771265</v>
      </c>
      <c r="G684" s="678"/>
    </row>
    <row r="685" spans="1:7" s="679" customFormat="1" ht="18.75" customHeight="1">
      <c r="A685" s="673"/>
      <c r="B685" s="674"/>
      <c r="C685" s="675" t="s">
        <v>668</v>
      </c>
      <c r="D685" s="676">
        <v>723868</v>
      </c>
      <c r="E685" s="676">
        <v>285992.16</v>
      </c>
      <c r="F685" s="677">
        <f t="shared" si="35"/>
        <v>39.50888283499201</v>
      </c>
      <c r="G685" s="678"/>
    </row>
    <row r="686" spans="1:7" s="679" customFormat="1" ht="18.75" customHeight="1">
      <c r="A686" s="673"/>
      <c r="B686" s="674"/>
      <c r="C686" s="675" t="s">
        <v>285</v>
      </c>
      <c r="D686" s="676">
        <v>67697</v>
      </c>
      <c r="E686" s="676">
        <v>37872.73</v>
      </c>
      <c r="F686" s="677">
        <f t="shared" si="35"/>
        <v>55.94447316720091</v>
      </c>
      <c r="G686" s="678"/>
    </row>
    <row r="687" spans="1:8" s="721" customFormat="1" ht="28.5" customHeight="1">
      <c r="A687" s="704"/>
      <c r="B687" s="739" t="s">
        <v>720</v>
      </c>
      <c r="C687" s="454" t="s">
        <v>721</v>
      </c>
      <c r="D687" s="452">
        <f>D688</f>
        <v>265101</v>
      </c>
      <c r="E687" s="452">
        <f>E688</f>
        <v>117009.78</v>
      </c>
      <c r="F687" s="693">
        <f t="shared" si="35"/>
        <v>44.13781162651216</v>
      </c>
      <c r="G687" s="678"/>
      <c r="H687" s="221"/>
    </row>
    <row r="688" spans="1:7" s="460" customFormat="1" ht="18.75" customHeight="1">
      <c r="A688" s="694"/>
      <c r="B688" s="695"/>
      <c r="C688" s="696" t="s">
        <v>185</v>
      </c>
      <c r="D688" s="458">
        <f>SUM(D689,D692)</f>
        <v>265101</v>
      </c>
      <c r="E688" s="458">
        <f>SUM(E689,E692)</f>
        <v>117009.78</v>
      </c>
      <c r="F688" s="697">
        <f t="shared" si="35"/>
        <v>44.13781162651216</v>
      </c>
      <c r="G688" s="700"/>
    </row>
    <row r="689" spans="1:7" s="221" customFormat="1" ht="18" customHeight="1">
      <c r="A689" s="698"/>
      <c r="B689" s="681"/>
      <c r="C689" s="699" t="s">
        <v>284</v>
      </c>
      <c r="D689" s="683">
        <f>SUM(D690,D691)</f>
        <v>264101</v>
      </c>
      <c r="E689" s="683">
        <f>SUM(E690,E691)</f>
        <v>116910.15</v>
      </c>
      <c r="F689" s="684">
        <f t="shared" si="35"/>
        <v>44.26721216504292</v>
      </c>
      <c r="G689" s="678"/>
    </row>
    <row r="690" spans="1:7" s="679" customFormat="1" ht="18.75" customHeight="1">
      <c r="A690" s="673"/>
      <c r="B690" s="674"/>
      <c r="C690" s="675" t="s">
        <v>668</v>
      </c>
      <c r="D690" s="676">
        <v>153615</v>
      </c>
      <c r="E690" s="676">
        <v>80105.67</v>
      </c>
      <c r="F690" s="677">
        <f t="shared" si="35"/>
        <v>52.14703642222439</v>
      </c>
      <c r="G690" s="678"/>
    </row>
    <row r="691" spans="1:7" s="679" customFormat="1" ht="18.75" customHeight="1">
      <c r="A691" s="673"/>
      <c r="B691" s="674"/>
      <c r="C691" s="675" t="s">
        <v>285</v>
      </c>
      <c r="D691" s="676">
        <v>110486</v>
      </c>
      <c r="E691" s="676">
        <v>36804.48</v>
      </c>
      <c r="F691" s="677">
        <f t="shared" si="35"/>
        <v>33.311442173669064</v>
      </c>
      <c r="G691" s="678"/>
    </row>
    <row r="692" spans="1:7" s="221" customFormat="1" ht="18.75" customHeight="1">
      <c r="A692" s="680"/>
      <c r="B692" s="681"/>
      <c r="C692" s="682" t="s">
        <v>296</v>
      </c>
      <c r="D692" s="683">
        <v>1000</v>
      </c>
      <c r="E692" s="683">
        <v>99.63</v>
      </c>
      <c r="F692" s="684">
        <f t="shared" si="35"/>
        <v>9.963</v>
      </c>
      <c r="G692" s="678"/>
    </row>
    <row r="693" spans="1:7" s="174" customFormat="1" ht="18.75" customHeight="1">
      <c r="A693" s="704"/>
      <c r="B693" s="691" t="s">
        <v>722</v>
      </c>
      <c r="C693" s="692" t="s">
        <v>723</v>
      </c>
      <c r="D693" s="452">
        <f>D696</f>
        <v>63840</v>
      </c>
      <c r="E693" s="452">
        <f>E696</f>
        <v>22059.61</v>
      </c>
      <c r="F693" s="693">
        <f aca="true" t="shared" si="37" ref="F693:F705">E693/D693*100</f>
        <v>34.55452694235589</v>
      </c>
      <c r="G693" s="173"/>
    </row>
    <row r="694" spans="1:7" s="460" customFormat="1" ht="18.75" customHeight="1">
      <c r="A694" s="694"/>
      <c r="B694" s="695"/>
      <c r="C694" s="696" t="s">
        <v>185</v>
      </c>
      <c r="D694" s="458">
        <f>SUM(D695)</f>
        <v>63840</v>
      </c>
      <c r="E694" s="458">
        <f>SUM(E695)</f>
        <v>22059.61</v>
      </c>
      <c r="F694" s="697">
        <f t="shared" si="37"/>
        <v>34.55452694235589</v>
      </c>
      <c r="G694" s="700"/>
    </row>
    <row r="695" spans="1:7" s="221" customFormat="1" ht="18" customHeight="1">
      <c r="A695" s="698"/>
      <c r="B695" s="681"/>
      <c r="C695" s="699" t="s">
        <v>284</v>
      </c>
      <c r="D695" s="683">
        <f>SUM(D696)</f>
        <v>63840</v>
      </c>
      <c r="E695" s="683">
        <f>SUM(E696)</f>
        <v>22059.61</v>
      </c>
      <c r="F695" s="684">
        <f>E695/D695*100</f>
        <v>34.55452694235589</v>
      </c>
      <c r="G695" s="678"/>
    </row>
    <row r="696" spans="1:7" s="679" customFormat="1" ht="18.75" customHeight="1">
      <c r="A696" s="673"/>
      <c r="B696" s="674"/>
      <c r="C696" s="675" t="s">
        <v>285</v>
      </c>
      <c r="D696" s="676">
        <v>63840</v>
      </c>
      <c r="E696" s="676">
        <v>22059.61</v>
      </c>
      <c r="F696" s="677">
        <f>E696/D696*100</f>
        <v>34.55452694235589</v>
      </c>
      <c r="G696" s="678"/>
    </row>
    <row r="697" spans="1:8" s="721" customFormat="1" ht="18.75" customHeight="1">
      <c r="A697" s="704"/>
      <c r="B697" s="691" t="s">
        <v>724</v>
      </c>
      <c r="C697" s="692" t="s">
        <v>1358</v>
      </c>
      <c r="D697" s="452">
        <f>SUM(D698)</f>
        <v>19452</v>
      </c>
      <c r="E697" s="452">
        <f>SUM(E698)</f>
        <v>3614</v>
      </c>
      <c r="F697" s="693">
        <f t="shared" si="37"/>
        <v>18.579066419905406</v>
      </c>
      <c r="G697" s="678"/>
      <c r="H697" s="221"/>
    </row>
    <row r="698" spans="1:7" s="460" customFormat="1" ht="18.75" customHeight="1">
      <c r="A698" s="694"/>
      <c r="B698" s="695"/>
      <c r="C698" s="696" t="s">
        <v>185</v>
      </c>
      <c r="D698" s="458">
        <f>SUM(D699,D702)</f>
        <v>19452</v>
      </c>
      <c r="E698" s="458">
        <f>SUM(E699,E702)</f>
        <v>3614</v>
      </c>
      <c r="F698" s="697">
        <f t="shared" si="37"/>
        <v>18.579066419905406</v>
      </c>
      <c r="G698" s="700"/>
    </row>
    <row r="699" spans="1:7" s="221" customFormat="1" ht="18" customHeight="1">
      <c r="A699" s="698"/>
      <c r="B699" s="681"/>
      <c r="C699" s="699" t="s">
        <v>284</v>
      </c>
      <c r="D699" s="683">
        <f>SUM(D700,D701)</f>
        <v>300</v>
      </c>
      <c r="E699" s="683">
        <f>SUM(E700,E701)</f>
        <v>0</v>
      </c>
      <c r="F699" s="684">
        <f>E699/D699*100</f>
        <v>0</v>
      </c>
      <c r="G699" s="678"/>
    </row>
    <row r="700" spans="1:7" s="679" customFormat="1" ht="18.75" customHeight="1" hidden="1">
      <c r="A700" s="673"/>
      <c r="B700" s="674"/>
      <c r="C700" s="675" t="s">
        <v>668</v>
      </c>
      <c r="D700" s="676"/>
      <c r="E700" s="676"/>
      <c r="F700" s="677" t="e">
        <f>E700/D700*100</f>
        <v>#DIV/0!</v>
      </c>
      <c r="G700" s="678"/>
    </row>
    <row r="701" spans="1:7" s="679" customFormat="1" ht="18.75" customHeight="1">
      <c r="A701" s="673"/>
      <c r="B701" s="674"/>
      <c r="C701" s="675" t="s">
        <v>285</v>
      </c>
      <c r="D701" s="676">
        <v>300</v>
      </c>
      <c r="E701" s="676">
        <v>0</v>
      </c>
      <c r="F701" s="677">
        <f>E701/D701*100</f>
        <v>0</v>
      </c>
      <c r="G701" s="678"/>
    </row>
    <row r="702" spans="1:7" s="221" customFormat="1" ht="18.75" customHeight="1">
      <c r="A702" s="680"/>
      <c r="B702" s="681"/>
      <c r="C702" s="682" t="s">
        <v>296</v>
      </c>
      <c r="D702" s="683">
        <v>19152</v>
      </c>
      <c r="E702" s="683">
        <v>3614</v>
      </c>
      <c r="F702" s="684">
        <f>E702/D702*100</f>
        <v>18.870091896407686</v>
      </c>
      <c r="G702" s="678"/>
    </row>
    <row r="703" spans="1:10" s="174" customFormat="1" ht="18.75" customHeight="1">
      <c r="A703" s="719" t="s">
        <v>1468</v>
      </c>
      <c r="B703" s="686"/>
      <c r="C703" s="687" t="s">
        <v>1469</v>
      </c>
      <c r="D703" s="688">
        <f>SUM(D704,D712,D721,D726,D731)</f>
        <v>4727383</v>
      </c>
      <c r="E703" s="688">
        <f>SUM(E704,E712,E721,E726,E731)</f>
        <v>2210312.32</v>
      </c>
      <c r="F703" s="689">
        <f t="shared" si="37"/>
        <v>46.755516106903116</v>
      </c>
      <c r="G703" s="173"/>
      <c r="I703" s="548"/>
      <c r="J703" s="548"/>
    </row>
    <row r="704" spans="1:7" s="221" customFormat="1" ht="18.75" customHeight="1">
      <c r="A704" s="704"/>
      <c r="B704" s="691" t="s">
        <v>725</v>
      </c>
      <c r="C704" s="692" t="s">
        <v>726</v>
      </c>
      <c r="D704" s="452">
        <f>SUM(D705,D711)</f>
        <v>3387403</v>
      </c>
      <c r="E704" s="452">
        <f>SUM(E705,E711)</f>
        <v>1520344.25</v>
      </c>
      <c r="F704" s="693">
        <f t="shared" si="37"/>
        <v>44.88229626058665</v>
      </c>
      <c r="G704" s="678"/>
    </row>
    <row r="705" spans="1:7" s="460" customFormat="1" ht="18.75" customHeight="1">
      <c r="A705" s="694"/>
      <c r="B705" s="695"/>
      <c r="C705" s="696" t="s">
        <v>185</v>
      </c>
      <c r="D705" s="458">
        <f>SUM(D706,D709)</f>
        <v>2546403</v>
      </c>
      <c r="E705" s="458">
        <f>SUM(E706,E709)</f>
        <v>1456672.62</v>
      </c>
      <c r="F705" s="697">
        <f t="shared" si="37"/>
        <v>57.20510932480052</v>
      </c>
      <c r="G705" s="700"/>
    </row>
    <row r="706" spans="1:7" s="221" customFormat="1" ht="18" customHeight="1">
      <c r="A706" s="698"/>
      <c r="B706" s="681"/>
      <c r="C706" s="699" t="s">
        <v>284</v>
      </c>
      <c r="D706" s="683">
        <f>SUM(D707,D708)</f>
        <v>2471403</v>
      </c>
      <c r="E706" s="683">
        <f>SUM(E707,E708)</f>
        <v>1438912.62</v>
      </c>
      <c r="F706" s="684">
        <f>E706/D706*100</f>
        <v>58.2225003368532</v>
      </c>
      <c r="G706" s="678"/>
    </row>
    <row r="707" spans="1:7" s="735" customFormat="1" ht="18.75" customHeight="1" hidden="1">
      <c r="A707" s="730"/>
      <c r="B707" s="731"/>
      <c r="C707" s="732" t="s">
        <v>668</v>
      </c>
      <c r="D707" s="733">
        <v>0</v>
      </c>
      <c r="E707" s="733">
        <v>0</v>
      </c>
      <c r="F707" s="734" t="e">
        <f>E707/D707*100</f>
        <v>#DIV/0!</v>
      </c>
      <c r="G707" s="717"/>
    </row>
    <row r="708" spans="1:7" s="679" customFormat="1" ht="18.75" customHeight="1">
      <c r="A708" s="673"/>
      <c r="B708" s="674"/>
      <c r="C708" s="675" t="s">
        <v>285</v>
      </c>
      <c r="D708" s="676">
        <v>2471403</v>
      </c>
      <c r="E708" s="676">
        <v>1438912.62</v>
      </c>
      <c r="F708" s="677">
        <f>E708/D708*100</f>
        <v>58.2225003368532</v>
      </c>
      <c r="G708" s="678"/>
    </row>
    <row r="709" spans="1:7" s="221" customFormat="1" ht="18.75" customHeight="1">
      <c r="A709" s="680"/>
      <c r="B709" s="681"/>
      <c r="C709" s="699" t="s">
        <v>286</v>
      </c>
      <c r="D709" s="683">
        <v>75000</v>
      </c>
      <c r="E709" s="683">
        <v>17760</v>
      </c>
      <c r="F709" s="684">
        <f aca="true" t="shared" si="38" ref="F709:F718">E709/D709*100</f>
        <v>23.68</v>
      </c>
      <c r="G709" s="701"/>
    </row>
    <row r="710" spans="1:7" s="460" customFormat="1" ht="18.75" customHeight="1">
      <c r="A710" s="694"/>
      <c r="B710" s="695"/>
      <c r="C710" s="696" t="s">
        <v>287</v>
      </c>
      <c r="D710" s="458">
        <f>SUM(D711)</f>
        <v>841000</v>
      </c>
      <c r="E710" s="458">
        <f>SUM(E711)</f>
        <v>63671.63</v>
      </c>
      <c r="F710" s="697">
        <f t="shared" si="38"/>
        <v>7.570942925089179</v>
      </c>
      <c r="G710" s="700"/>
    </row>
    <row r="711" spans="1:7" s="221" customFormat="1" ht="28.5" customHeight="1">
      <c r="A711" s="698"/>
      <c r="B711" s="681"/>
      <c r="C711" s="699" t="s">
        <v>1367</v>
      </c>
      <c r="D711" s="683">
        <v>841000</v>
      </c>
      <c r="E711" s="683">
        <v>63671.63</v>
      </c>
      <c r="F711" s="684">
        <f t="shared" si="38"/>
        <v>7.570942925089179</v>
      </c>
      <c r="G711" s="701"/>
    </row>
    <row r="712" spans="1:10" s="174" customFormat="1" ht="27" customHeight="1">
      <c r="A712" s="704"/>
      <c r="B712" s="691" t="s">
        <v>727</v>
      </c>
      <c r="C712" s="454" t="s">
        <v>730</v>
      </c>
      <c r="D712" s="452">
        <f>SUM(D713,D718)</f>
        <v>310680</v>
      </c>
      <c r="E712" s="452">
        <f>SUM(E713,E718)</f>
        <v>208690.67</v>
      </c>
      <c r="F712" s="693">
        <f t="shared" si="38"/>
        <v>67.1722254409682</v>
      </c>
      <c r="G712" s="173"/>
      <c r="I712" s="548"/>
      <c r="J712" s="548"/>
    </row>
    <row r="713" spans="1:7" s="460" customFormat="1" ht="18.75" customHeight="1">
      <c r="A713" s="694"/>
      <c r="B713" s="695"/>
      <c r="C713" s="696" t="s">
        <v>185</v>
      </c>
      <c r="D713" s="458">
        <f>SUM(D714,D717)</f>
        <v>250680</v>
      </c>
      <c r="E713" s="458">
        <f>SUM(E714,E717)</f>
        <v>208690.67</v>
      </c>
      <c r="F713" s="697">
        <f t="shared" si="38"/>
        <v>83.24982846657093</v>
      </c>
      <c r="G713" s="700"/>
    </row>
    <row r="714" spans="1:7" s="221" customFormat="1" ht="18" customHeight="1">
      <c r="A714" s="698"/>
      <c r="B714" s="681"/>
      <c r="C714" s="699" t="s">
        <v>284</v>
      </c>
      <c r="D714" s="683">
        <f>SUM(D715,D716)</f>
        <v>208692</v>
      </c>
      <c r="E714" s="683">
        <f>SUM(E715,E716)</f>
        <v>208690.67</v>
      </c>
      <c r="F714" s="684">
        <f t="shared" si="38"/>
        <v>99.99936269718054</v>
      </c>
      <c r="G714" s="678"/>
    </row>
    <row r="715" spans="1:7" s="679" customFormat="1" ht="18.75" customHeight="1" hidden="1">
      <c r="A715" s="673"/>
      <c r="B715" s="674"/>
      <c r="C715" s="675" t="s">
        <v>668</v>
      </c>
      <c r="D715" s="676">
        <v>0</v>
      </c>
      <c r="E715" s="676">
        <v>0</v>
      </c>
      <c r="F715" s="677" t="e">
        <f t="shared" si="38"/>
        <v>#DIV/0!</v>
      </c>
      <c r="G715" s="678"/>
    </row>
    <row r="716" spans="1:7" s="735" customFormat="1" ht="18.75" customHeight="1">
      <c r="A716" s="730"/>
      <c r="B716" s="731"/>
      <c r="C716" s="732" t="s">
        <v>285</v>
      </c>
      <c r="D716" s="733">
        <v>208692</v>
      </c>
      <c r="E716" s="733">
        <v>208690.67</v>
      </c>
      <c r="F716" s="734">
        <f t="shared" si="38"/>
        <v>99.99936269718054</v>
      </c>
      <c r="G716" s="717"/>
    </row>
    <row r="717" spans="1:7" s="221" customFormat="1" ht="18.75" customHeight="1">
      <c r="A717" s="680"/>
      <c r="B717" s="681"/>
      <c r="C717" s="699" t="s">
        <v>286</v>
      </c>
      <c r="D717" s="683">
        <v>41988</v>
      </c>
      <c r="E717" s="683">
        <v>0</v>
      </c>
      <c r="F717" s="684">
        <f t="shared" si="38"/>
        <v>0</v>
      </c>
      <c r="G717" s="701"/>
    </row>
    <row r="718" spans="1:7" s="460" customFormat="1" ht="18.75" customHeight="1">
      <c r="A718" s="694"/>
      <c r="B718" s="695"/>
      <c r="C718" s="696" t="s">
        <v>287</v>
      </c>
      <c r="D718" s="458">
        <f>SUM(D719,D720)</f>
        <v>60000</v>
      </c>
      <c r="E718" s="458">
        <f>SUM(E719,E720)</f>
        <v>0</v>
      </c>
      <c r="F718" s="697">
        <f t="shared" si="38"/>
        <v>0</v>
      </c>
      <c r="G718" s="700"/>
    </row>
    <row r="719" spans="1:7" s="221" customFormat="1" ht="25.5" customHeight="1">
      <c r="A719" s="698"/>
      <c r="B719" s="681"/>
      <c r="C719" s="699" t="s">
        <v>1367</v>
      </c>
      <c r="D719" s="683">
        <v>60000</v>
      </c>
      <c r="E719" s="683">
        <v>0</v>
      </c>
      <c r="F719" s="684">
        <f aca="true" t="shared" si="39" ref="F719:F725">E719/D719*100</f>
        <v>0</v>
      </c>
      <c r="G719" s="701"/>
    </row>
    <row r="720" spans="1:7" s="22" customFormat="1" ht="18.75" customHeight="1" hidden="1">
      <c r="A720" s="87"/>
      <c r="B720" s="88"/>
      <c r="C720" s="21" t="s">
        <v>301</v>
      </c>
      <c r="D720" s="20">
        <v>0</v>
      </c>
      <c r="E720" s="20">
        <v>0</v>
      </c>
      <c r="F720" s="89" t="e">
        <f t="shared" si="39"/>
        <v>#DIV/0!</v>
      </c>
      <c r="G720" s="101"/>
    </row>
    <row r="721" spans="1:10" s="1" customFormat="1" ht="18.75" customHeight="1">
      <c r="A721" s="102"/>
      <c r="B721" s="7" t="s">
        <v>731</v>
      </c>
      <c r="C721" s="19" t="s">
        <v>732</v>
      </c>
      <c r="D721" s="5">
        <f aca="true" t="shared" si="40" ref="D721:E723">SUM(D722)</f>
        <v>153300</v>
      </c>
      <c r="E721" s="5">
        <f t="shared" si="40"/>
        <v>0</v>
      </c>
      <c r="F721" s="82">
        <f t="shared" si="39"/>
        <v>0</v>
      </c>
      <c r="G721" s="14"/>
      <c r="I721" s="46"/>
      <c r="J721" s="46"/>
    </row>
    <row r="722" spans="1:7" s="18" customFormat="1" ht="18.75" customHeight="1">
      <c r="A722" s="83"/>
      <c r="B722" s="84"/>
      <c r="C722" s="85" t="s">
        <v>185</v>
      </c>
      <c r="D722" s="17">
        <f>SUM(D723,D725)</f>
        <v>153300</v>
      </c>
      <c r="E722" s="17">
        <f>SUM(E723,E725)</f>
        <v>0</v>
      </c>
      <c r="F722" s="86">
        <f t="shared" si="39"/>
        <v>0</v>
      </c>
      <c r="G722" s="90"/>
    </row>
    <row r="723" spans="1:7" s="22" customFormat="1" ht="18" customHeight="1" hidden="1">
      <c r="A723" s="87"/>
      <c r="B723" s="88"/>
      <c r="C723" s="21" t="s">
        <v>284</v>
      </c>
      <c r="D723" s="20">
        <f t="shared" si="40"/>
        <v>0</v>
      </c>
      <c r="E723" s="20">
        <f t="shared" si="40"/>
        <v>0</v>
      </c>
      <c r="F723" s="89" t="e">
        <f t="shared" si="39"/>
        <v>#DIV/0!</v>
      </c>
      <c r="G723" s="91"/>
    </row>
    <row r="724" spans="1:7" s="97" customFormat="1" ht="18.75" customHeight="1" hidden="1">
      <c r="A724" s="92"/>
      <c r="B724" s="93"/>
      <c r="C724" s="94" t="s">
        <v>285</v>
      </c>
      <c r="D724" s="95">
        <v>0</v>
      </c>
      <c r="E724" s="95">
        <v>0</v>
      </c>
      <c r="F724" s="96" t="e">
        <f t="shared" si="39"/>
        <v>#DIV/0!</v>
      </c>
      <c r="G724" s="91"/>
    </row>
    <row r="725" spans="1:7" s="97" customFormat="1" ht="18.75" customHeight="1">
      <c r="A725" s="98"/>
      <c r="B725" s="93"/>
      <c r="C725" s="699" t="s">
        <v>286</v>
      </c>
      <c r="D725" s="683">
        <v>153300</v>
      </c>
      <c r="E725" s="683">
        <v>0</v>
      </c>
      <c r="F725" s="684">
        <f t="shared" si="39"/>
        <v>0</v>
      </c>
      <c r="G725" s="91"/>
    </row>
    <row r="726" spans="1:8" s="721" customFormat="1" ht="40.5" customHeight="1">
      <c r="A726" s="704"/>
      <c r="B726" s="739" t="s">
        <v>155</v>
      </c>
      <c r="C726" s="740" t="s">
        <v>647</v>
      </c>
      <c r="D726" s="452">
        <f>D727</f>
        <v>876000</v>
      </c>
      <c r="E726" s="452">
        <f>E727</f>
        <v>481277.4</v>
      </c>
      <c r="F726" s="693">
        <f aca="true" t="shared" si="41" ref="F726:F737">E726/D726*100</f>
        <v>54.940342465753425</v>
      </c>
      <c r="G726" s="678"/>
      <c r="H726" s="221"/>
    </row>
    <row r="727" spans="1:7" s="460" customFormat="1" ht="18.75" customHeight="1">
      <c r="A727" s="694"/>
      <c r="B727" s="695"/>
      <c r="C727" s="696" t="s">
        <v>185</v>
      </c>
      <c r="D727" s="458">
        <f>SUM(D728)</f>
        <v>876000</v>
      </c>
      <c r="E727" s="458">
        <f>SUM(E728)</f>
        <v>481277.4</v>
      </c>
      <c r="F727" s="697">
        <f t="shared" si="41"/>
        <v>54.940342465753425</v>
      </c>
      <c r="G727" s="700"/>
    </row>
    <row r="728" spans="1:7" s="221" customFormat="1" ht="18" customHeight="1">
      <c r="A728" s="698"/>
      <c r="B728" s="681"/>
      <c r="C728" s="699" t="s">
        <v>284</v>
      </c>
      <c r="D728" s="683">
        <f>SUM(D729,D730)</f>
        <v>876000</v>
      </c>
      <c r="E728" s="683">
        <f>SUM(E729,E730)</f>
        <v>481277.4</v>
      </c>
      <c r="F728" s="684">
        <f t="shared" si="41"/>
        <v>54.940342465753425</v>
      </c>
      <c r="G728" s="678"/>
    </row>
    <row r="729" spans="1:7" s="679" customFormat="1" ht="18.75" customHeight="1">
      <c r="A729" s="673"/>
      <c r="B729" s="674"/>
      <c r="C729" s="675" t="s">
        <v>668</v>
      </c>
      <c r="D729" s="676">
        <v>876000</v>
      </c>
      <c r="E729" s="676">
        <v>481277.4</v>
      </c>
      <c r="F729" s="677">
        <f t="shared" si="41"/>
        <v>54.940342465753425</v>
      </c>
      <c r="G729" s="678"/>
    </row>
    <row r="730" spans="1:7" s="97" customFormat="1" ht="18.75" customHeight="1" hidden="1">
      <c r="A730" s="92"/>
      <c r="B730" s="93"/>
      <c r="C730" s="94" t="s">
        <v>285</v>
      </c>
      <c r="D730" s="95">
        <v>0</v>
      </c>
      <c r="E730" s="95">
        <v>0</v>
      </c>
      <c r="F730" s="96" t="e">
        <f t="shared" si="41"/>
        <v>#DIV/0!</v>
      </c>
      <c r="G730" s="91"/>
    </row>
    <row r="731" spans="1:7" s="174" customFormat="1" ht="18.75" customHeight="1" hidden="1">
      <c r="A731" s="704"/>
      <c r="B731" s="691" t="s">
        <v>737</v>
      </c>
      <c r="C731" s="692" t="s">
        <v>1358</v>
      </c>
      <c r="D731" s="452">
        <f aca="true" t="shared" si="42" ref="D731:E733">SUM(D732)</f>
        <v>0</v>
      </c>
      <c r="E731" s="452">
        <f t="shared" si="42"/>
        <v>0</v>
      </c>
      <c r="F731" s="693" t="e">
        <f t="shared" si="41"/>
        <v>#DIV/0!</v>
      </c>
      <c r="G731" s="173"/>
    </row>
    <row r="732" spans="1:7" s="460" customFormat="1" ht="18.75" customHeight="1" hidden="1">
      <c r="A732" s="694"/>
      <c r="B732" s="695"/>
      <c r="C732" s="696" t="s">
        <v>185</v>
      </c>
      <c r="D732" s="458">
        <f t="shared" si="42"/>
        <v>0</v>
      </c>
      <c r="E732" s="458">
        <f t="shared" si="42"/>
        <v>0</v>
      </c>
      <c r="F732" s="697" t="e">
        <f t="shared" si="41"/>
        <v>#DIV/0!</v>
      </c>
      <c r="G732" s="700"/>
    </row>
    <row r="733" spans="1:7" s="221" customFormat="1" ht="18" customHeight="1" hidden="1">
      <c r="A733" s="698"/>
      <c r="B733" s="681"/>
      <c r="C733" s="699" t="s">
        <v>284</v>
      </c>
      <c r="D733" s="683">
        <f t="shared" si="42"/>
        <v>0</v>
      </c>
      <c r="E733" s="683">
        <f t="shared" si="42"/>
        <v>0</v>
      </c>
      <c r="F733" s="684" t="e">
        <f t="shared" si="41"/>
        <v>#DIV/0!</v>
      </c>
      <c r="G733" s="678"/>
    </row>
    <row r="734" spans="1:7" s="679" customFormat="1" ht="18.75" customHeight="1" hidden="1">
      <c r="A734" s="673"/>
      <c r="B734" s="674"/>
      <c r="C734" s="675" t="s">
        <v>285</v>
      </c>
      <c r="D734" s="676">
        <v>0</v>
      </c>
      <c r="E734" s="676">
        <v>0</v>
      </c>
      <c r="F734" s="677" t="e">
        <f t="shared" si="41"/>
        <v>#DIV/0!</v>
      </c>
      <c r="G734" s="678"/>
    </row>
    <row r="735" spans="1:8" s="721" customFormat="1" ht="18.75" customHeight="1">
      <c r="A735" s="719" t="s">
        <v>445</v>
      </c>
      <c r="B735" s="686"/>
      <c r="C735" s="687" t="s">
        <v>738</v>
      </c>
      <c r="D735" s="688">
        <f>SUM(D736,D743,D749,D757,D762,D767,D772)</f>
        <v>3679986.99</v>
      </c>
      <c r="E735" s="688">
        <f>SUM(E736,E743,E749,E757,E762,E767,E772)</f>
        <v>1531082.77</v>
      </c>
      <c r="F735" s="689">
        <f t="shared" si="41"/>
        <v>41.605657143912886</v>
      </c>
      <c r="G735" s="678"/>
      <c r="H735" s="221"/>
    </row>
    <row r="736" spans="1:7" s="174" customFormat="1" ht="18.75" customHeight="1">
      <c r="A736" s="704"/>
      <c r="B736" s="691" t="s">
        <v>446</v>
      </c>
      <c r="C736" s="692" t="s">
        <v>739</v>
      </c>
      <c r="D736" s="452">
        <f>SUM(D737)</f>
        <v>1186195</v>
      </c>
      <c r="E736" s="452">
        <f>SUM(E737)</f>
        <v>501410.06</v>
      </c>
      <c r="F736" s="693">
        <f t="shared" si="41"/>
        <v>42.270458061279975</v>
      </c>
      <c r="G736" s="173"/>
    </row>
    <row r="737" spans="1:7" s="460" customFormat="1" ht="18.75" customHeight="1">
      <c r="A737" s="694"/>
      <c r="B737" s="695"/>
      <c r="C737" s="696" t="s">
        <v>185</v>
      </c>
      <c r="D737" s="458">
        <f>SUM(D738,D741,D742)</f>
        <v>1186195</v>
      </c>
      <c r="E737" s="458">
        <f>SUM(E738,E741,E742)</f>
        <v>501410.06</v>
      </c>
      <c r="F737" s="697">
        <f t="shared" si="41"/>
        <v>42.270458061279975</v>
      </c>
      <c r="G737" s="700"/>
    </row>
    <row r="738" spans="1:7" s="221" customFormat="1" ht="18" customHeight="1">
      <c r="A738" s="698"/>
      <c r="B738" s="681"/>
      <c r="C738" s="699" t="s">
        <v>284</v>
      </c>
      <c r="D738" s="683">
        <f>SUM(D739,D740)</f>
        <v>1098886</v>
      </c>
      <c r="E738" s="683">
        <f>SUM(E739,E740)</f>
        <v>488770.22</v>
      </c>
      <c r="F738" s="684">
        <f aca="true" t="shared" si="43" ref="F738:F771">E738/D738*100</f>
        <v>44.4787011573539</v>
      </c>
      <c r="G738" s="678"/>
    </row>
    <row r="739" spans="1:7" s="679" customFormat="1" ht="18.75" customHeight="1">
      <c r="A739" s="673"/>
      <c r="B739" s="674"/>
      <c r="C739" s="675" t="s">
        <v>668</v>
      </c>
      <c r="D739" s="676">
        <v>507683</v>
      </c>
      <c r="E739" s="676">
        <v>261215.22</v>
      </c>
      <c r="F739" s="677">
        <f t="shared" si="43"/>
        <v>51.4524260217498</v>
      </c>
      <c r="G739" s="678"/>
    </row>
    <row r="740" spans="1:7" s="679" customFormat="1" ht="18.75" customHeight="1">
      <c r="A740" s="673"/>
      <c r="B740" s="674"/>
      <c r="C740" s="675" t="s">
        <v>285</v>
      </c>
      <c r="D740" s="676">
        <v>591203</v>
      </c>
      <c r="E740" s="676">
        <v>227555</v>
      </c>
      <c r="F740" s="677">
        <f t="shared" si="43"/>
        <v>38.49016327724995</v>
      </c>
      <c r="G740" s="678"/>
    </row>
    <row r="741" spans="1:7" s="22" customFormat="1" ht="18.75" customHeight="1" hidden="1">
      <c r="A741" s="100"/>
      <c r="B741" s="88"/>
      <c r="C741" s="21" t="s">
        <v>286</v>
      </c>
      <c r="D741" s="20">
        <v>0</v>
      </c>
      <c r="E741" s="20">
        <v>0</v>
      </c>
      <c r="F741" s="89" t="e">
        <f t="shared" si="43"/>
        <v>#DIV/0!</v>
      </c>
      <c r="G741" s="101"/>
    </row>
    <row r="742" spans="1:7" s="221" customFormat="1" ht="18.75" customHeight="1">
      <c r="A742" s="680"/>
      <c r="B742" s="681"/>
      <c r="C742" s="682" t="s">
        <v>296</v>
      </c>
      <c r="D742" s="683">
        <v>87309</v>
      </c>
      <c r="E742" s="683">
        <v>12639.84</v>
      </c>
      <c r="F742" s="684">
        <f t="shared" si="43"/>
        <v>14.477132941621138</v>
      </c>
      <c r="G742" s="678"/>
    </row>
    <row r="743" spans="1:7" s="22" customFormat="1" ht="18.75" customHeight="1" hidden="1">
      <c r="A743" s="102"/>
      <c r="B743" s="7" t="s">
        <v>457</v>
      </c>
      <c r="C743" s="23" t="s">
        <v>223</v>
      </c>
      <c r="D743" s="5">
        <f>SUM(D744,D747)</f>
        <v>0</v>
      </c>
      <c r="E743" s="5">
        <f>SUM(E744,E747)</f>
        <v>0</v>
      </c>
      <c r="F743" s="82" t="e">
        <f t="shared" si="43"/>
        <v>#DIV/0!</v>
      </c>
      <c r="G743" s="91"/>
    </row>
    <row r="744" spans="1:7" s="18" customFormat="1" ht="18.75" customHeight="1" hidden="1">
      <c r="A744" s="83"/>
      <c r="B744" s="84"/>
      <c r="C744" s="85" t="s">
        <v>185</v>
      </c>
      <c r="D744" s="17">
        <f>SUM(D745)</f>
        <v>0</v>
      </c>
      <c r="E744" s="17">
        <f>SUM(E745)</f>
        <v>0</v>
      </c>
      <c r="F744" s="86" t="e">
        <f t="shared" si="43"/>
        <v>#DIV/0!</v>
      </c>
      <c r="G744" s="90"/>
    </row>
    <row r="745" spans="1:7" s="22" customFormat="1" ht="18" customHeight="1" hidden="1">
      <c r="A745" s="87"/>
      <c r="B745" s="88"/>
      <c r="C745" s="21" t="s">
        <v>284</v>
      </c>
      <c r="D745" s="20">
        <f>SUM(D746)</f>
        <v>0</v>
      </c>
      <c r="E745" s="20">
        <f>SUM(E746)</f>
        <v>0</v>
      </c>
      <c r="F745" s="89" t="e">
        <f t="shared" si="43"/>
        <v>#DIV/0!</v>
      </c>
      <c r="G745" s="91"/>
    </row>
    <row r="746" spans="1:7" s="97" customFormat="1" ht="18.75" customHeight="1" hidden="1">
      <c r="A746" s="92"/>
      <c r="B746" s="93"/>
      <c r="C746" s="94" t="s">
        <v>285</v>
      </c>
      <c r="D746" s="95">
        <v>0</v>
      </c>
      <c r="E746" s="95">
        <v>0</v>
      </c>
      <c r="F746" s="96" t="e">
        <f t="shared" si="43"/>
        <v>#DIV/0!</v>
      </c>
      <c r="G746" s="91"/>
    </row>
    <row r="747" spans="1:7" s="18" customFormat="1" ht="18.75" customHeight="1" hidden="1">
      <c r="A747" s="83"/>
      <c r="B747" s="84"/>
      <c r="C747" s="85" t="s">
        <v>287</v>
      </c>
      <c r="D747" s="17">
        <f>SUM(D748)</f>
        <v>0</v>
      </c>
      <c r="E747" s="17">
        <f>SUM(E748)</f>
        <v>0</v>
      </c>
      <c r="F747" s="86" t="e">
        <f t="shared" si="43"/>
        <v>#DIV/0!</v>
      </c>
      <c r="G747" s="90"/>
    </row>
    <row r="748" spans="1:7" s="22" customFormat="1" ht="18.75" customHeight="1" hidden="1">
      <c r="A748" s="87"/>
      <c r="B748" s="88"/>
      <c r="C748" s="21" t="s">
        <v>288</v>
      </c>
      <c r="D748" s="20">
        <v>0</v>
      </c>
      <c r="E748" s="20">
        <v>0</v>
      </c>
      <c r="F748" s="89" t="e">
        <f>E748/D748*100</f>
        <v>#DIV/0!</v>
      </c>
      <c r="G748" s="101"/>
    </row>
    <row r="749" spans="1:8" s="721" customFormat="1" ht="18.75" customHeight="1">
      <c r="A749" s="704"/>
      <c r="B749" s="691" t="s">
        <v>742</v>
      </c>
      <c r="C749" s="692" t="s">
        <v>743</v>
      </c>
      <c r="D749" s="452">
        <f>D750</f>
        <v>1785691.99</v>
      </c>
      <c r="E749" s="452">
        <f>E750</f>
        <v>704075.03</v>
      </c>
      <c r="F749" s="693">
        <f t="shared" si="43"/>
        <v>39.42869397090145</v>
      </c>
      <c r="G749" s="678"/>
      <c r="H749" s="221"/>
    </row>
    <row r="750" spans="1:7" s="460" customFormat="1" ht="18.75" customHeight="1">
      <c r="A750" s="694"/>
      <c r="B750" s="695"/>
      <c r="C750" s="696" t="s">
        <v>185</v>
      </c>
      <c r="D750" s="458">
        <f>SUM(D751,D754,D755,D756)</f>
        <v>1785691.99</v>
      </c>
      <c r="E750" s="458">
        <f>SUM(E751,E754,E755,E756)</f>
        <v>704075.03</v>
      </c>
      <c r="F750" s="697">
        <f t="shared" si="43"/>
        <v>39.42869397090145</v>
      </c>
      <c r="G750" s="700"/>
    </row>
    <row r="751" spans="1:7" s="221" customFormat="1" ht="18" customHeight="1">
      <c r="A751" s="698"/>
      <c r="B751" s="681"/>
      <c r="C751" s="699" t="s">
        <v>284</v>
      </c>
      <c r="D751" s="683">
        <f>SUM(D752,D753)</f>
        <v>498633.99</v>
      </c>
      <c r="E751" s="683">
        <f>SUM(E752,E753)</f>
        <v>180983.09</v>
      </c>
      <c r="F751" s="684">
        <f t="shared" si="43"/>
        <v>36.295778793579636</v>
      </c>
      <c r="G751" s="678"/>
    </row>
    <row r="752" spans="1:7" s="679" customFormat="1" ht="18.75" customHeight="1">
      <c r="A752" s="673"/>
      <c r="B752" s="674"/>
      <c r="C752" s="675" t="s">
        <v>668</v>
      </c>
      <c r="D752" s="676">
        <v>294122.99</v>
      </c>
      <c r="E752" s="676">
        <v>91396.94</v>
      </c>
      <c r="F752" s="677">
        <f t="shared" si="43"/>
        <v>31.07439510253857</v>
      </c>
      <c r="G752" s="678"/>
    </row>
    <row r="753" spans="1:7" s="679" customFormat="1" ht="18.75" customHeight="1">
      <c r="A753" s="673"/>
      <c r="B753" s="674"/>
      <c r="C753" s="675" t="s">
        <v>285</v>
      </c>
      <c r="D753" s="676">
        <v>204511</v>
      </c>
      <c r="E753" s="676">
        <v>89586.15</v>
      </c>
      <c r="F753" s="677">
        <f>E753/D753*100</f>
        <v>43.805052050989914</v>
      </c>
      <c r="G753" s="678"/>
    </row>
    <row r="754" spans="1:7" s="22" customFormat="1" ht="18.75" customHeight="1" hidden="1">
      <c r="A754" s="100"/>
      <c r="B754" s="88"/>
      <c r="C754" s="21" t="s">
        <v>286</v>
      </c>
      <c r="D754" s="20">
        <v>0</v>
      </c>
      <c r="E754" s="20">
        <v>0</v>
      </c>
      <c r="F754" s="89" t="e">
        <f t="shared" si="43"/>
        <v>#DIV/0!</v>
      </c>
      <c r="G754" s="101"/>
    </row>
    <row r="755" spans="1:7" s="221" customFormat="1" ht="18.75" customHeight="1">
      <c r="A755" s="680"/>
      <c r="B755" s="681"/>
      <c r="C755" s="682" t="s">
        <v>296</v>
      </c>
      <c r="D755" s="683">
        <v>1287058</v>
      </c>
      <c r="E755" s="683">
        <v>523091.94</v>
      </c>
      <c r="F755" s="684">
        <f t="shared" si="43"/>
        <v>40.64245278767546</v>
      </c>
      <c r="G755" s="678"/>
    </row>
    <row r="756" spans="1:7" s="22" customFormat="1" ht="18.75" customHeight="1" hidden="1">
      <c r="A756" s="100"/>
      <c r="B756" s="88"/>
      <c r="C756" s="99" t="s">
        <v>304</v>
      </c>
      <c r="D756" s="20">
        <v>0</v>
      </c>
      <c r="E756" s="20">
        <v>0</v>
      </c>
      <c r="F756" s="89" t="e">
        <f>E756/D756*100</f>
        <v>#DIV/0!</v>
      </c>
      <c r="G756" s="91"/>
    </row>
    <row r="757" spans="1:8" s="548" customFormat="1" ht="28.5" customHeight="1">
      <c r="A757" s="704"/>
      <c r="B757" s="691" t="s">
        <v>423</v>
      </c>
      <c r="C757" s="454" t="s">
        <v>302</v>
      </c>
      <c r="D757" s="452">
        <f>SUM(D758)</f>
        <v>318000</v>
      </c>
      <c r="E757" s="452">
        <f>SUM(E758)</f>
        <v>145688.9</v>
      </c>
      <c r="F757" s="693">
        <f t="shared" si="43"/>
        <v>45.81411949685534</v>
      </c>
      <c r="G757" s="173"/>
      <c r="H757" s="174"/>
    </row>
    <row r="758" spans="1:7" s="460" customFormat="1" ht="18.75" customHeight="1">
      <c r="A758" s="694"/>
      <c r="B758" s="695"/>
      <c r="C758" s="696" t="s">
        <v>185</v>
      </c>
      <c r="D758" s="458">
        <f>SUM(D759)</f>
        <v>318000</v>
      </c>
      <c r="E758" s="458">
        <f>SUM(E759)</f>
        <v>145688.9</v>
      </c>
      <c r="F758" s="697">
        <f t="shared" si="43"/>
        <v>45.81411949685534</v>
      </c>
      <c r="G758" s="700"/>
    </row>
    <row r="759" spans="1:7" s="221" customFormat="1" ht="18" customHeight="1">
      <c r="A759" s="698"/>
      <c r="B759" s="681"/>
      <c r="C759" s="699" t="s">
        <v>284</v>
      </c>
      <c r="D759" s="683">
        <f>SUM(D760,D761)</f>
        <v>318000</v>
      </c>
      <c r="E759" s="683">
        <f>SUM(E760,E761)</f>
        <v>145688.9</v>
      </c>
      <c r="F759" s="684">
        <f t="shared" si="43"/>
        <v>45.81411949685534</v>
      </c>
      <c r="G759" s="678"/>
    </row>
    <row r="760" spans="1:7" s="679" customFormat="1" ht="18.75" customHeight="1">
      <c r="A760" s="673"/>
      <c r="B760" s="674"/>
      <c r="C760" s="675" t="s">
        <v>668</v>
      </c>
      <c r="D760" s="676">
        <v>168440</v>
      </c>
      <c r="E760" s="676">
        <v>79269.26</v>
      </c>
      <c r="F760" s="677">
        <f t="shared" si="43"/>
        <v>47.06082878176205</v>
      </c>
      <c r="G760" s="678"/>
    </row>
    <row r="761" spans="1:7" s="679" customFormat="1" ht="18.75" customHeight="1">
      <c r="A761" s="673"/>
      <c r="B761" s="674"/>
      <c r="C761" s="675" t="s">
        <v>285</v>
      </c>
      <c r="D761" s="676">
        <v>149560</v>
      </c>
      <c r="E761" s="676">
        <v>66419.64</v>
      </c>
      <c r="F761" s="677">
        <f t="shared" si="43"/>
        <v>44.410029419630916</v>
      </c>
      <c r="G761" s="678"/>
    </row>
    <row r="762" spans="1:7" s="221" customFormat="1" ht="18.75" customHeight="1">
      <c r="A762" s="704"/>
      <c r="B762" s="691" t="s">
        <v>744</v>
      </c>
      <c r="C762" s="703" t="s">
        <v>745</v>
      </c>
      <c r="D762" s="452">
        <f>D763</f>
        <v>348600</v>
      </c>
      <c r="E762" s="452">
        <f>E763</f>
        <v>166511.63</v>
      </c>
      <c r="F762" s="693">
        <f t="shared" si="43"/>
        <v>47.76581468732071</v>
      </c>
      <c r="G762" s="678"/>
    </row>
    <row r="763" spans="1:7" s="460" customFormat="1" ht="18.75" customHeight="1">
      <c r="A763" s="694"/>
      <c r="B763" s="695"/>
      <c r="C763" s="696" t="s">
        <v>185</v>
      </c>
      <c r="D763" s="458">
        <f>SUM(D764)</f>
        <v>348600</v>
      </c>
      <c r="E763" s="458">
        <f>SUM(E764)</f>
        <v>166511.63</v>
      </c>
      <c r="F763" s="697">
        <f t="shared" si="43"/>
        <v>47.76581468732071</v>
      </c>
      <c r="G763" s="700"/>
    </row>
    <row r="764" spans="1:7" s="221" customFormat="1" ht="18" customHeight="1">
      <c r="A764" s="698"/>
      <c r="B764" s="681"/>
      <c r="C764" s="699" t="s">
        <v>284</v>
      </c>
      <c r="D764" s="683">
        <f>SUM(D765,D766)</f>
        <v>348600</v>
      </c>
      <c r="E764" s="683">
        <f>SUM(E765,E766)</f>
        <v>166511.63</v>
      </c>
      <c r="F764" s="684">
        <f t="shared" si="43"/>
        <v>47.76581468732071</v>
      </c>
      <c r="G764" s="678"/>
    </row>
    <row r="765" spans="1:7" s="679" customFormat="1" ht="18.75" customHeight="1">
      <c r="A765" s="673"/>
      <c r="B765" s="674"/>
      <c r="C765" s="675" t="s">
        <v>668</v>
      </c>
      <c r="D765" s="676">
        <v>280994</v>
      </c>
      <c r="E765" s="676">
        <v>134353.21</v>
      </c>
      <c r="F765" s="677">
        <f t="shared" si="43"/>
        <v>47.81355117902873</v>
      </c>
      <c r="G765" s="678"/>
    </row>
    <row r="766" spans="1:7" s="679" customFormat="1" ht="18.75" customHeight="1">
      <c r="A766" s="673"/>
      <c r="B766" s="674"/>
      <c r="C766" s="675" t="s">
        <v>285</v>
      </c>
      <c r="D766" s="676">
        <v>67606</v>
      </c>
      <c r="E766" s="676">
        <v>32158.42</v>
      </c>
      <c r="F766" s="677">
        <f t="shared" si="43"/>
        <v>47.567405259888176</v>
      </c>
      <c r="G766" s="678"/>
    </row>
    <row r="767" spans="1:7" s="221" customFormat="1" ht="42.75" customHeight="1">
      <c r="A767" s="704"/>
      <c r="B767" s="691" t="s">
        <v>1121</v>
      </c>
      <c r="C767" s="740" t="s">
        <v>1122</v>
      </c>
      <c r="D767" s="452">
        <f>SUM(D768)</f>
        <v>41500</v>
      </c>
      <c r="E767" s="452">
        <f>SUM(E768)</f>
        <v>13397.150000000001</v>
      </c>
      <c r="F767" s="693">
        <f t="shared" si="43"/>
        <v>32.28228915662651</v>
      </c>
      <c r="G767" s="678"/>
    </row>
    <row r="768" spans="1:7" s="460" customFormat="1" ht="18.75" customHeight="1">
      <c r="A768" s="694"/>
      <c r="B768" s="695"/>
      <c r="C768" s="696" t="s">
        <v>185</v>
      </c>
      <c r="D768" s="458">
        <f>SUM(D769)</f>
        <v>41500</v>
      </c>
      <c r="E768" s="458">
        <f>SUM(E769)</f>
        <v>13397.150000000001</v>
      </c>
      <c r="F768" s="697">
        <f t="shared" si="43"/>
        <v>32.28228915662651</v>
      </c>
      <c r="G768" s="700"/>
    </row>
    <row r="769" spans="1:7" s="221" customFormat="1" ht="18" customHeight="1">
      <c r="A769" s="698"/>
      <c r="B769" s="681"/>
      <c r="C769" s="699" t="s">
        <v>284</v>
      </c>
      <c r="D769" s="683">
        <f>SUM(D770,D771)</f>
        <v>41500</v>
      </c>
      <c r="E769" s="683">
        <f>SUM(E770,E771)</f>
        <v>13397.150000000001</v>
      </c>
      <c r="F769" s="684">
        <f t="shared" si="43"/>
        <v>32.28228915662651</v>
      </c>
      <c r="G769" s="678"/>
    </row>
    <row r="770" spans="1:7" s="679" customFormat="1" ht="18.75" customHeight="1">
      <c r="A770" s="673"/>
      <c r="B770" s="674"/>
      <c r="C770" s="675" t="s">
        <v>668</v>
      </c>
      <c r="D770" s="676">
        <v>10904</v>
      </c>
      <c r="E770" s="676">
        <v>4019.62</v>
      </c>
      <c r="F770" s="677">
        <f t="shared" si="43"/>
        <v>36.86371973587674</v>
      </c>
      <c r="G770" s="678"/>
    </row>
    <row r="771" spans="1:7" s="679" customFormat="1" ht="18.75" customHeight="1">
      <c r="A771" s="673"/>
      <c r="B771" s="674"/>
      <c r="C771" s="675" t="s">
        <v>285</v>
      </c>
      <c r="D771" s="676">
        <v>30596</v>
      </c>
      <c r="E771" s="676">
        <v>9377.53</v>
      </c>
      <c r="F771" s="677">
        <f t="shared" si="43"/>
        <v>30.649529350241867</v>
      </c>
      <c r="G771" s="678"/>
    </row>
    <row r="772" spans="1:7" s="22" customFormat="1" ht="18.75" customHeight="1" hidden="1">
      <c r="A772" s="102"/>
      <c r="B772" s="7" t="s">
        <v>455</v>
      </c>
      <c r="C772" s="23" t="s">
        <v>1358</v>
      </c>
      <c r="D772" s="5">
        <f>SUM(D773)</f>
        <v>0</v>
      </c>
      <c r="E772" s="5">
        <f>SUM(E773)</f>
        <v>0</v>
      </c>
      <c r="F772" s="82" t="e">
        <f aca="true" t="shared" si="44" ref="F772:F779">E772/D772*100</f>
        <v>#DIV/0!</v>
      </c>
      <c r="G772" s="91"/>
    </row>
    <row r="773" spans="1:7" s="18" customFormat="1" ht="18.75" customHeight="1" hidden="1">
      <c r="A773" s="83"/>
      <c r="B773" s="84"/>
      <c r="C773" s="85" t="s">
        <v>185</v>
      </c>
      <c r="D773" s="17">
        <f>SUM(D774,D777)</f>
        <v>0</v>
      </c>
      <c r="E773" s="17">
        <f>SUM(E774,E777)</f>
        <v>0</v>
      </c>
      <c r="F773" s="86" t="e">
        <f t="shared" si="44"/>
        <v>#DIV/0!</v>
      </c>
      <c r="G773" s="90"/>
    </row>
    <row r="774" spans="1:7" s="22" customFormat="1" ht="18" customHeight="1" hidden="1">
      <c r="A774" s="87"/>
      <c r="B774" s="88"/>
      <c r="C774" s="21" t="s">
        <v>284</v>
      </c>
      <c r="D774" s="20">
        <f>SUM(D775,D776)</f>
        <v>0</v>
      </c>
      <c r="E774" s="20">
        <f>SUM(E775,E776)</f>
        <v>0</v>
      </c>
      <c r="F774" s="89" t="e">
        <f>E774/D774*100</f>
        <v>#DIV/0!</v>
      </c>
      <c r="G774" s="91"/>
    </row>
    <row r="775" spans="1:7" s="97" customFormat="1" ht="18.75" customHeight="1" hidden="1">
      <c r="A775" s="92"/>
      <c r="B775" s="93"/>
      <c r="C775" s="94" t="s">
        <v>668</v>
      </c>
      <c r="D775" s="95">
        <v>0</v>
      </c>
      <c r="E775" s="95">
        <v>0</v>
      </c>
      <c r="F775" s="96" t="e">
        <f>E775/D775*100</f>
        <v>#DIV/0!</v>
      </c>
      <c r="G775" s="91"/>
    </row>
    <row r="776" spans="1:7" s="97" customFormat="1" ht="18.75" customHeight="1" hidden="1">
      <c r="A776" s="92"/>
      <c r="B776" s="93"/>
      <c r="C776" s="94" t="s">
        <v>285</v>
      </c>
      <c r="D776" s="95">
        <v>0</v>
      </c>
      <c r="E776" s="95">
        <v>0</v>
      </c>
      <c r="F776" s="96" t="e">
        <f>E776/D776*100</f>
        <v>#DIV/0!</v>
      </c>
      <c r="G776" s="91"/>
    </row>
    <row r="777" spans="1:7" s="22" customFormat="1" ht="18.75" customHeight="1" hidden="1">
      <c r="A777" s="100"/>
      <c r="B777" s="88"/>
      <c r="C777" s="99" t="s">
        <v>296</v>
      </c>
      <c r="D777" s="20">
        <v>0</v>
      </c>
      <c r="E777" s="20">
        <v>0</v>
      </c>
      <c r="F777" s="89" t="e">
        <f>E777/D777*100</f>
        <v>#DIV/0!</v>
      </c>
      <c r="G777" s="91"/>
    </row>
    <row r="778" spans="1:7" s="221" customFormat="1" ht="27" customHeight="1">
      <c r="A778" s="719" t="s">
        <v>1472</v>
      </c>
      <c r="B778" s="686"/>
      <c r="C778" s="702" t="s">
        <v>746</v>
      </c>
      <c r="D778" s="688">
        <f>SUM(D779,D782,D788,D793,D801)</f>
        <v>1097542</v>
      </c>
      <c r="E778" s="688">
        <f>SUM(E779,E782,E788,E793,E801)</f>
        <v>562421.13</v>
      </c>
      <c r="F778" s="689">
        <f t="shared" si="44"/>
        <v>51.24370001330245</v>
      </c>
      <c r="G778" s="678"/>
    </row>
    <row r="779" spans="1:7" s="221" customFormat="1" ht="30.75" customHeight="1">
      <c r="A779" s="704"/>
      <c r="B779" s="691" t="s">
        <v>1340</v>
      </c>
      <c r="C779" s="454" t="s">
        <v>1343</v>
      </c>
      <c r="D779" s="452">
        <f>SUM(D780)</f>
        <v>41100</v>
      </c>
      <c r="E779" s="452">
        <f>SUM(E780)</f>
        <v>13700</v>
      </c>
      <c r="F779" s="693">
        <f t="shared" si="44"/>
        <v>33.33333333333333</v>
      </c>
      <c r="G779" s="678"/>
    </row>
    <row r="780" spans="1:7" s="460" customFormat="1" ht="18.75" customHeight="1">
      <c r="A780" s="694"/>
      <c r="B780" s="695"/>
      <c r="C780" s="696" t="s">
        <v>185</v>
      </c>
      <c r="D780" s="458">
        <f>SUM(D781)</f>
        <v>41100</v>
      </c>
      <c r="E780" s="458">
        <f>SUM(E781)</f>
        <v>13700</v>
      </c>
      <c r="F780" s="697">
        <f aca="true" t="shared" si="45" ref="F780:F800">E780/D780*100</f>
        <v>33.33333333333333</v>
      </c>
      <c r="G780" s="700"/>
    </row>
    <row r="781" spans="1:7" s="221" customFormat="1" ht="17.25" customHeight="1">
      <c r="A781" s="698"/>
      <c r="B781" s="681"/>
      <c r="C781" s="699" t="s">
        <v>286</v>
      </c>
      <c r="D781" s="683">
        <v>41100</v>
      </c>
      <c r="E781" s="683">
        <v>13700</v>
      </c>
      <c r="F781" s="684">
        <f t="shared" si="45"/>
        <v>33.33333333333333</v>
      </c>
      <c r="G781" s="678"/>
    </row>
    <row r="782" spans="1:7" s="221" customFormat="1" ht="18.75" customHeight="1">
      <c r="A782" s="704"/>
      <c r="B782" s="691" t="s">
        <v>1480</v>
      </c>
      <c r="C782" s="741" t="s">
        <v>228</v>
      </c>
      <c r="D782" s="742">
        <f>D783</f>
        <v>45000</v>
      </c>
      <c r="E782" s="742">
        <f>E783</f>
        <v>17496</v>
      </c>
      <c r="F782" s="693">
        <f t="shared" si="45"/>
        <v>38.879999999999995</v>
      </c>
      <c r="G782" s="678"/>
    </row>
    <row r="783" spans="1:7" s="460" customFormat="1" ht="18.75" customHeight="1">
      <c r="A783" s="694"/>
      <c r="B783" s="695"/>
      <c r="C783" s="696" t="s">
        <v>185</v>
      </c>
      <c r="D783" s="458">
        <f>SUM(D784,D787)</f>
        <v>45000</v>
      </c>
      <c r="E783" s="458">
        <f>SUM(E784,E787)</f>
        <v>17496</v>
      </c>
      <c r="F783" s="697">
        <f t="shared" si="45"/>
        <v>38.879999999999995</v>
      </c>
      <c r="G783" s="700"/>
    </row>
    <row r="784" spans="1:7" s="460" customFormat="1" ht="18.75" customHeight="1">
      <c r="A784" s="694"/>
      <c r="B784" s="695"/>
      <c r="C784" s="699" t="s">
        <v>284</v>
      </c>
      <c r="D784" s="683">
        <f>SUM(D785)</f>
        <v>10000</v>
      </c>
      <c r="E784" s="683">
        <f>SUM(E785)</f>
        <v>0</v>
      </c>
      <c r="F784" s="684">
        <f>E784/D784*100</f>
        <v>0</v>
      </c>
      <c r="G784" s="700"/>
    </row>
    <row r="785" spans="1:7" s="460" customFormat="1" ht="18.75" customHeight="1">
      <c r="A785" s="694"/>
      <c r="B785" s="695"/>
      <c r="C785" s="675" t="s">
        <v>285</v>
      </c>
      <c r="D785" s="676">
        <v>10000</v>
      </c>
      <c r="E785" s="676">
        <v>0</v>
      </c>
      <c r="F785" s="677">
        <f>E785/D785*100</f>
        <v>0</v>
      </c>
      <c r="G785" s="700"/>
    </row>
    <row r="786" spans="1:7" s="460" customFormat="1" ht="18.75" customHeight="1" hidden="1">
      <c r="A786" s="694"/>
      <c r="B786" s="695"/>
      <c r="C786" s="696"/>
      <c r="D786" s="458"/>
      <c r="E786" s="458"/>
      <c r="F786" s="697"/>
      <c r="G786" s="700"/>
    </row>
    <row r="787" spans="1:7" s="221" customFormat="1" ht="18" customHeight="1">
      <c r="A787" s="698"/>
      <c r="B787" s="681"/>
      <c r="C787" s="699" t="s">
        <v>286</v>
      </c>
      <c r="D787" s="683">
        <v>35000</v>
      </c>
      <c r="E787" s="683">
        <v>17496</v>
      </c>
      <c r="F787" s="684">
        <f t="shared" si="45"/>
        <v>49.988571428571426</v>
      </c>
      <c r="G787" s="678"/>
    </row>
    <row r="788" spans="1:7" s="221" customFormat="1" ht="25.5" customHeight="1">
      <c r="A788" s="704"/>
      <c r="B788" s="691" t="s">
        <v>1335</v>
      </c>
      <c r="C788" s="454" t="s">
        <v>1336</v>
      </c>
      <c r="D788" s="452">
        <f>SUM(D789)</f>
        <v>20117</v>
      </c>
      <c r="E788" s="452">
        <f>SUM(E789)</f>
        <v>10179</v>
      </c>
      <c r="F788" s="693">
        <f t="shared" si="45"/>
        <v>50.5989958741363</v>
      </c>
      <c r="G788" s="678"/>
    </row>
    <row r="789" spans="1:7" s="460" customFormat="1" ht="18.75" customHeight="1">
      <c r="A789" s="694"/>
      <c r="B789" s="695"/>
      <c r="C789" s="696" t="s">
        <v>185</v>
      </c>
      <c r="D789" s="458">
        <f>SUM(D790)</f>
        <v>20117</v>
      </c>
      <c r="E789" s="458">
        <f>SUM(E790)</f>
        <v>10179</v>
      </c>
      <c r="F789" s="697">
        <f t="shared" si="45"/>
        <v>50.5989958741363</v>
      </c>
      <c r="G789" s="700"/>
    </row>
    <row r="790" spans="1:7" s="221" customFormat="1" ht="18" customHeight="1">
      <c r="A790" s="698"/>
      <c r="B790" s="681"/>
      <c r="C790" s="699" t="s">
        <v>284</v>
      </c>
      <c r="D790" s="683">
        <f>SUM(D791,D792)</f>
        <v>20117</v>
      </c>
      <c r="E790" s="683">
        <f>SUM(E791,E792)</f>
        <v>10179</v>
      </c>
      <c r="F790" s="684">
        <f t="shared" si="45"/>
        <v>50.5989958741363</v>
      </c>
      <c r="G790" s="678"/>
    </row>
    <row r="791" spans="1:7" s="679" customFormat="1" ht="18.75" customHeight="1">
      <c r="A791" s="673"/>
      <c r="B791" s="674"/>
      <c r="C791" s="675" t="s">
        <v>668</v>
      </c>
      <c r="D791" s="676">
        <v>18865</v>
      </c>
      <c r="E791" s="676">
        <v>9233.58</v>
      </c>
      <c r="F791" s="677">
        <f t="shared" si="45"/>
        <v>48.94556056188709</v>
      </c>
      <c r="G791" s="678"/>
    </row>
    <row r="792" spans="1:7" s="679" customFormat="1" ht="18.75" customHeight="1">
      <c r="A792" s="673"/>
      <c r="B792" s="674"/>
      <c r="C792" s="675" t="s">
        <v>285</v>
      </c>
      <c r="D792" s="676">
        <v>1252</v>
      </c>
      <c r="E792" s="676">
        <v>945.42</v>
      </c>
      <c r="F792" s="677">
        <f t="shared" si="45"/>
        <v>75.51277955271564</v>
      </c>
      <c r="G792" s="678"/>
    </row>
    <row r="793" spans="1:7" s="221" customFormat="1" ht="18.75" customHeight="1">
      <c r="A793" s="704"/>
      <c r="B793" s="691" t="s">
        <v>748</v>
      </c>
      <c r="C793" s="692" t="s">
        <v>749</v>
      </c>
      <c r="D793" s="452">
        <f>SUM(D794,D799)</f>
        <v>953951</v>
      </c>
      <c r="E793" s="452">
        <f>SUM(E794,E799)</f>
        <v>499583.16000000003</v>
      </c>
      <c r="F793" s="693">
        <f t="shared" si="45"/>
        <v>52.369897405631946</v>
      </c>
      <c r="G793" s="678"/>
    </row>
    <row r="794" spans="1:7" s="460" customFormat="1" ht="18.75" customHeight="1">
      <c r="A794" s="694"/>
      <c r="B794" s="695"/>
      <c r="C794" s="696" t="s">
        <v>185</v>
      </c>
      <c r="D794" s="458">
        <f>SUM(D795,D798)</f>
        <v>953951</v>
      </c>
      <c r="E794" s="458">
        <f>SUM(E795,E798)</f>
        <v>499583.16000000003</v>
      </c>
      <c r="F794" s="697">
        <f t="shared" si="45"/>
        <v>52.369897405631946</v>
      </c>
      <c r="G794" s="700"/>
    </row>
    <row r="795" spans="1:7" s="221" customFormat="1" ht="18" customHeight="1">
      <c r="A795" s="698"/>
      <c r="B795" s="681"/>
      <c r="C795" s="699" t="s">
        <v>284</v>
      </c>
      <c r="D795" s="683">
        <f>SUM(D796,D797)</f>
        <v>953151</v>
      </c>
      <c r="E795" s="683">
        <f>SUM(E796,E797)</f>
        <v>499204.4</v>
      </c>
      <c r="F795" s="684">
        <f t="shared" si="45"/>
        <v>52.374114909390016</v>
      </c>
      <c r="G795" s="678"/>
    </row>
    <row r="796" spans="1:7" s="679" customFormat="1" ht="18.75" customHeight="1">
      <c r="A796" s="673"/>
      <c r="B796" s="674"/>
      <c r="C796" s="675" t="s">
        <v>668</v>
      </c>
      <c r="D796" s="676">
        <v>824877</v>
      </c>
      <c r="E796" s="676">
        <v>429733.13</v>
      </c>
      <c r="F796" s="677">
        <f t="shared" si="45"/>
        <v>52.09663137655674</v>
      </c>
      <c r="G796" s="678"/>
    </row>
    <row r="797" spans="1:7" s="679" customFormat="1" ht="18.75" customHeight="1">
      <c r="A797" s="673"/>
      <c r="B797" s="674"/>
      <c r="C797" s="675" t="s">
        <v>285</v>
      </c>
      <c r="D797" s="676">
        <v>128274</v>
      </c>
      <c r="E797" s="676">
        <v>69471.27</v>
      </c>
      <c r="F797" s="677">
        <f t="shared" si="45"/>
        <v>54.15849665559662</v>
      </c>
      <c r="G797" s="678"/>
    </row>
    <row r="798" spans="1:7" s="221" customFormat="1" ht="18.75" customHeight="1">
      <c r="A798" s="680"/>
      <c r="B798" s="681"/>
      <c r="C798" s="682" t="s">
        <v>296</v>
      </c>
      <c r="D798" s="683">
        <v>800</v>
      </c>
      <c r="E798" s="683">
        <v>378.76</v>
      </c>
      <c r="F798" s="684">
        <f t="shared" si="45"/>
        <v>47.345</v>
      </c>
      <c r="G798" s="678"/>
    </row>
    <row r="799" spans="1:7" s="18" customFormat="1" ht="18.75" customHeight="1" hidden="1">
      <c r="A799" s="83"/>
      <c r="B799" s="84"/>
      <c r="C799" s="85" t="s">
        <v>287</v>
      </c>
      <c r="D799" s="17">
        <f>SUM(D800)</f>
        <v>0</v>
      </c>
      <c r="E799" s="17">
        <f>SUM(E800)</f>
        <v>0</v>
      </c>
      <c r="F799" s="86" t="e">
        <f t="shared" si="45"/>
        <v>#DIV/0!</v>
      </c>
      <c r="G799" s="90"/>
    </row>
    <row r="800" spans="1:7" s="22" customFormat="1" ht="28.5" customHeight="1" hidden="1">
      <c r="A800" s="87"/>
      <c r="B800" s="88"/>
      <c r="C800" s="21" t="s">
        <v>1367</v>
      </c>
      <c r="D800" s="20">
        <v>0</v>
      </c>
      <c r="E800" s="20">
        <v>0</v>
      </c>
      <c r="F800" s="89" t="e">
        <f t="shared" si="45"/>
        <v>#DIV/0!</v>
      </c>
      <c r="G800" s="101"/>
    </row>
    <row r="801" spans="1:7" s="221" customFormat="1" ht="18" customHeight="1">
      <c r="A801" s="704"/>
      <c r="B801" s="691" t="s">
        <v>750</v>
      </c>
      <c r="C801" s="454" t="s">
        <v>1358</v>
      </c>
      <c r="D801" s="452">
        <f>SUM(D802,D807)</f>
        <v>37374</v>
      </c>
      <c r="E801" s="452">
        <f>SUM(E802,E807)</f>
        <v>21462.97</v>
      </c>
      <c r="F801" s="693">
        <f aca="true" t="shared" si="46" ref="F801:F810">E801/D801*100</f>
        <v>57.42754321185851</v>
      </c>
      <c r="G801" s="678"/>
    </row>
    <row r="802" spans="1:7" s="460" customFormat="1" ht="18.75" customHeight="1">
      <c r="A802" s="694"/>
      <c r="B802" s="695"/>
      <c r="C802" s="696" t="s">
        <v>185</v>
      </c>
      <c r="D802" s="458">
        <f>SUM(D803,D806)</f>
        <v>31250</v>
      </c>
      <c r="E802" s="458">
        <f>SUM(E803,E806)</f>
        <v>15339.42</v>
      </c>
      <c r="F802" s="697">
        <f t="shared" si="46"/>
        <v>49.086144</v>
      </c>
      <c r="G802" s="700"/>
    </row>
    <row r="803" spans="1:7" s="221" customFormat="1" ht="18" customHeight="1" hidden="1">
      <c r="A803" s="698"/>
      <c r="B803" s="681"/>
      <c r="C803" s="699" t="s">
        <v>284</v>
      </c>
      <c r="D803" s="683">
        <f>SUM(D804,D805)</f>
        <v>0</v>
      </c>
      <c r="E803" s="683">
        <f>SUM(E804,E805)</f>
        <v>0</v>
      </c>
      <c r="F803" s="684" t="e">
        <f t="shared" si="46"/>
        <v>#DIV/0!</v>
      </c>
      <c r="G803" s="678"/>
    </row>
    <row r="804" spans="1:7" s="679" customFormat="1" ht="23.25" customHeight="1" hidden="1">
      <c r="A804" s="673"/>
      <c r="B804" s="674"/>
      <c r="C804" s="675" t="s">
        <v>668</v>
      </c>
      <c r="D804" s="676">
        <v>0</v>
      </c>
      <c r="E804" s="676">
        <v>0</v>
      </c>
      <c r="F804" s="677" t="e">
        <f t="shared" si="46"/>
        <v>#DIV/0!</v>
      </c>
      <c r="G804" s="678"/>
    </row>
    <row r="805" spans="1:7" s="679" customFormat="1" ht="23.25" customHeight="1" hidden="1">
      <c r="A805" s="673"/>
      <c r="B805" s="674"/>
      <c r="C805" s="675" t="s">
        <v>285</v>
      </c>
      <c r="D805" s="676">
        <v>0</v>
      </c>
      <c r="E805" s="676">
        <v>0</v>
      </c>
      <c r="F805" s="677" t="e">
        <f t="shared" si="46"/>
        <v>#DIV/0!</v>
      </c>
      <c r="G805" s="678"/>
    </row>
    <row r="806" spans="1:7" s="22" customFormat="1" ht="20.25" customHeight="1">
      <c r="A806" s="100"/>
      <c r="B806" s="88"/>
      <c r="C806" s="99" t="s">
        <v>304</v>
      </c>
      <c r="D806" s="20">
        <v>31250</v>
      </c>
      <c r="E806" s="20">
        <v>15339.42</v>
      </c>
      <c r="F806" s="89">
        <f t="shared" si="46"/>
        <v>49.086144</v>
      </c>
      <c r="G806" s="91"/>
    </row>
    <row r="807" spans="1:7" s="22" customFormat="1" ht="23.25" customHeight="1">
      <c r="A807" s="100"/>
      <c r="B807" s="88"/>
      <c r="C807" s="696" t="s">
        <v>287</v>
      </c>
      <c r="D807" s="458">
        <f>SUM(D808)</f>
        <v>6124</v>
      </c>
      <c r="E807" s="458">
        <f>SUM(E808)</f>
        <v>6123.55</v>
      </c>
      <c r="F807" s="697">
        <f t="shared" si="46"/>
        <v>99.99265186152842</v>
      </c>
      <c r="G807" s="91"/>
    </row>
    <row r="808" spans="1:7" s="22" customFormat="1" ht="20.25" customHeight="1">
      <c r="A808" s="100"/>
      <c r="B808" s="88"/>
      <c r="C808" s="1489" t="s">
        <v>304</v>
      </c>
      <c r="D808" s="1493">
        <v>6124</v>
      </c>
      <c r="E808" s="1493">
        <v>6123.55</v>
      </c>
      <c r="F808" s="1494">
        <f t="shared" si="46"/>
        <v>99.99265186152842</v>
      </c>
      <c r="G808" s="91"/>
    </row>
    <row r="809" spans="1:7" s="221" customFormat="1" ht="27.75" customHeight="1">
      <c r="A809" s="719" t="s">
        <v>1482</v>
      </c>
      <c r="B809" s="686"/>
      <c r="C809" s="702" t="s">
        <v>1485</v>
      </c>
      <c r="D809" s="688">
        <f>SUM(D810,D815,D821,D829,D837,D843,D846,D850)</f>
        <v>4967741</v>
      </c>
      <c r="E809" s="688">
        <f>SUM(E810,E815,E821,E829,E837,E843,E846,E850)</f>
        <v>2571225.71</v>
      </c>
      <c r="F809" s="689">
        <f t="shared" si="46"/>
        <v>51.7584493636041</v>
      </c>
      <c r="G809" s="678"/>
    </row>
    <row r="810" spans="1:8" s="721" customFormat="1" ht="23.25" customHeight="1">
      <c r="A810" s="704"/>
      <c r="B810" s="691" t="s">
        <v>1486</v>
      </c>
      <c r="C810" s="454" t="s">
        <v>58</v>
      </c>
      <c r="D810" s="452">
        <f>SUM(D811)</f>
        <v>1595643</v>
      </c>
      <c r="E810" s="452">
        <f>SUM(E811)</f>
        <v>831778.35</v>
      </c>
      <c r="F810" s="693">
        <f t="shared" si="46"/>
        <v>52.12809820241746</v>
      </c>
      <c r="G810" s="678"/>
      <c r="H810" s="221"/>
    </row>
    <row r="811" spans="1:7" s="460" customFormat="1" ht="23.25" customHeight="1">
      <c r="A811" s="694"/>
      <c r="B811" s="695"/>
      <c r="C811" s="696" t="s">
        <v>185</v>
      </c>
      <c r="D811" s="458">
        <f>SUM(D812)</f>
        <v>1595643</v>
      </c>
      <c r="E811" s="458">
        <f>SUM(E812)</f>
        <v>831778.35</v>
      </c>
      <c r="F811" s="697">
        <f aca="true" t="shared" si="47" ref="F811:F849">E811/D811*100</f>
        <v>52.12809820241746</v>
      </c>
      <c r="G811" s="700"/>
    </row>
    <row r="812" spans="1:7" s="221" customFormat="1" ht="23.25" customHeight="1">
      <c r="A812" s="698"/>
      <c r="B812" s="681"/>
      <c r="C812" s="699" t="s">
        <v>284</v>
      </c>
      <c r="D812" s="683">
        <f>SUM(D813,D814)</f>
        <v>1595643</v>
      </c>
      <c r="E812" s="683">
        <f>SUM(E813,E814)</f>
        <v>831778.35</v>
      </c>
      <c r="F812" s="684">
        <f t="shared" si="47"/>
        <v>52.12809820241746</v>
      </c>
      <c r="G812" s="678"/>
    </row>
    <row r="813" spans="1:7" s="679" customFormat="1" ht="18.75" customHeight="1">
      <c r="A813" s="673"/>
      <c r="B813" s="674"/>
      <c r="C813" s="675" t="s">
        <v>668</v>
      </c>
      <c r="D813" s="676">
        <v>1299508</v>
      </c>
      <c r="E813" s="676">
        <v>687783.01</v>
      </c>
      <c r="F813" s="677">
        <f t="shared" si="47"/>
        <v>52.92641599743904</v>
      </c>
      <c r="G813" s="678"/>
    </row>
    <row r="814" spans="1:7" s="679" customFormat="1" ht="18.75" customHeight="1">
      <c r="A814" s="673"/>
      <c r="B814" s="674"/>
      <c r="C814" s="675" t="s">
        <v>285</v>
      </c>
      <c r="D814" s="676">
        <v>296135</v>
      </c>
      <c r="E814" s="676">
        <v>143995.34</v>
      </c>
      <c r="F814" s="677">
        <f t="shared" si="47"/>
        <v>48.624897428537665</v>
      </c>
      <c r="G814" s="678"/>
    </row>
    <row r="815" spans="1:8" s="721" customFormat="1" ht="20.25" customHeight="1">
      <c r="A815" s="704"/>
      <c r="B815" s="739" t="s">
        <v>322</v>
      </c>
      <c r="C815" s="454" t="s">
        <v>323</v>
      </c>
      <c r="D815" s="452">
        <f>D816</f>
        <v>376448</v>
      </c>
      <c r="E815" s="452">
        <f>E816</f>
        <v>210223.14</v>
      </c>
      <c r="F815" s="693">
        <f t="shared" si="47"/>
        <v>55.84387219483169</v>
      </c>
      <c r="G815" s="678"/>
      <c r="H815" s="221"/>
    </row>
    <row r="816" spans="1:7" s="460" customFormat="1" ht="18.75" customHeight="1">
      <c r="A816" s="694"/>
      <c r="B816" s="695"/>
      <c r="C816" s="696" t="s">
        <v>185</v>
      </c>
      <c r="D816" s="458">
        <f>SUM(D817,D820)</f>
        <v>376448</v>
      </c>
      <c r="E816" s="458">
        <f>SUM(E817,E820)</f>
        <v>210223.14</v>
      </c>
      <c r="F816" s="697">
        <f t="shared" si="47"/>
        <v>55.84387219483169</v>
      </c>
      <c r="G816" s="700"/>
    </row>
    <row r="817" spans="1:7" s="221" customFormat="1" ht="18" customHeight="1">
      <c r="A817" s="698"/>
      <c r="B817" s="681"/>
      <c r="C817" s="699" t="s">
        <v>284</v>
      </c>
      <c r="D817" s="683">
        <f>SUM(D818,D819)</f>
        <v>324759</v>
      </c>
      <c r="E817" s="683">
        <f>SUM(E818,E819)</f>
        <v>188718.54</v>
      </c>
      <c r="F817" s="684">
        <f t="shared" si="47"/>
        <v>58.11033412468939</v>
      </c>
      <c r="G817" s="678"/>
    </row>
    <row r="818" spans="1:7" s="679" customFormat="1" ht="18.75" customHeight="1">
      <c r="A818" s="673"/>
      <c r="B818" s="674"/>
      <c r="C818" s="675" t="s">
        <v>668</v>
      </c>
      <c r="D818" s="676">
        <v>308762</v>
      </c>
      <c r="E818" s="676">
        <v>177508.54</v>
      </c>
      <c r="F818" s="677">
        <f t="shared" si="47"/>
        <v>57.49041008932446</v>
      </c>
      <c r="G818" s="678"/>
    </row>
    <row r="819" spans="1:7" s="679" customFormat="1" ht="18.75" customHeight="1">
      <c r="A819" s="673"/>
      <c r="B819" s="674"/>
      <c r="C819" s="675" t="s">
        <v>285</v>
      </c>
      <c r="D819" s="676">
        <v>15997</v>
      </c>
      <c r="E819" s="676">
        <v>11210</v>
      </c>
      <c r="F819" s="677">
        <f t="shared" si="47"/>
        <v>70.07563918234669</v>
      </c>
      <c r="G819" s="678"/>
    </row>
    <row r="820" spans="1:7" s="718" customFormat="1" ht="18" customHeight="1">
      <c r="A820" s="712"/>
      <c r="B820" s="713"/>
      <c r="C820" s="714" t="s">
        <v>286</v>
      </c>
      <c r="D820" s="715">
        <v>51689</v>
      </c>
      <c r="E820" s="715">
        <v>21504.6</v>
      </c>
      <c r="F820" s="716">
        <f t="shared" si="47"/>
        <v>41.60382286366538</v>
      </c>
      <c r="G820" s="717"/>
    </row>
    <row r="821" spans="1:8" s="721" customFormat="1" ht="27" customHeight="1">
      <c r="A821" s="704"/>
      <c r="B821" s="739" t="s">
        <v>1487</v>
      </c>
      <c r="C821" s="454" t="s">
        <v>981</v>
      </c>
      <c r="D821" s="452">
        <f>SUM(D822,D827)</f>
        <v>1204159</v>
      </c>
      <c r="E821" s="452">
        <f>SUM(E822,E827)</f>
        <v>617958.32</v>
      </c>
      <c r="F821" s="693">
        <f t="shared" si="47"/>
        <v>51.318664727830786</v>
      </c>
      <c r="G821" s="678"/>
      <c r="H821" s="221"/>
    </row>
    <row r="822" spans="1:7" s="460" customFormat="1" ht="18.75" customHeight="1">
      <c r="A822" s="694"/>
      <c r="B822" s="695"/>
      <c r="C822" s="696" t="s">
        <v>185</v>
      </c>
      <c r="D822" s="458">
        <f>SUM(D823,D826)</f>
        <v>1074159</v>
      </c>
      <c r="E822" s="458">
        <f>SUM(E823,E826)</f>
        <v>617958.32</v>
      </c>
      <c r="F822" s="697">
        <f t="shared" si="47"/>
        <v>57.52950168457369</v>
      </c>
      <c r="G822" s="700"/>
    </row>
    <row r="823" spans="1:7" s="221" customFormat="1" ht="18" customHeight="1">
      <c r="A823" s="698"/>
      <c r="B823" s="681"/>
      <c r="C823" s="699" t="s">
        <v>284</v>
      </c>
      <c r="D823" s="683">
        <f>SUM(D824,D825)</f>
        <v>1073129</v>
      </c>
      <c r="E823" s="683">
        <f>SUM(E824,E825)</f>
        <v>617668.32</v>
      </c>
      <c r="F823" s="684">
        <f t="shared" si="47"/>
        <v>57.55769530037861</v>
      </c>
      <c r="G823" s="678"/>
    </row>
    <row r="824" spans="1:7" s="679" customFormat="1" ht="18.75" customHeight="1">
      <c r="A824" s="673"/>
      <c r="B824" s="674"/>
      <c r="C824" s="675" t="s">
        <v>668</v>
      </c>
      <c r="D824" s="676">
        <v>984916</v>
      </c>
      <c r="E824" s="676">
        <v>561784.44</v>
      </c>
      <c r="F824" s="677">
        <f t="shared" si="47"/>
        <v>57.03881752352484</v>
      </c>
      <c r="G824" s="678"/>
    </row>
    <row r="825" spans="1:7" s="679" customFormat="1" ht="18.75" customHeight="1">
      <c r="A825" s="673"/>
      <c r="B825" s="674"/>
      <c r="C825" s="675" t="s">
        <v>285</v>
      </c>
      <c r="D825" s="676">
        <v>88213</v>
      </c>
      <c r="E825" s="676">
        <v>55883.88</v>
      </c>
      <c r="F825" s="677">
        <f t="shared" si="47"/>
        <v>63.35107070386451</v>
      </c>
      <c r="G825" s="678"/>
    </row>
    <row r="826" spans="1:7" s="221" customFormat="1" ht="18.75" customHeight="1">
      <c r="A826" s="680"/>
      <c r="B826" s="681"/>
      <c r="C826" s="682" t="s">
        <v>296</v>
      </c>
      <c r="D826" s="683">
        <v>1030</v>
      </c>
      <c r="E826" s="683">
        <v>290</v>
      </c>
      <c r="F826" s="684">
        <f t="shared" si="47"/>
        <v>28.155339805825243</v>
      </c>
      <c r="G826" s="678"/>
    </row>
    <row r="827" spans="1:7" s="221" customFormat="1" ht="18.75" customHeight="1">
      <c r="A827" s="680"/>
      <c r="B827" s="681"/>
      <c r="C827" s="696" t="s">
        <v>287</v>
      </c>
      <c r="D827" s="458">
        <f>SUM(D828)</f>
        <v>130000</v>
      </c>
      <c r="E827" s="458">
        <f>SUM(E828)</f>
        <v>0</v>
      </c>
      <c r="F827" s="684">
        <f t="shared" si="47"/>
        <v>0</v>
      </c>
      <c r="G827" s="678"/>
    </row>
    <row r="828" spans="1:7" s="221" customFormat="1" ht="27.75" customHeight="1">
      <c r="A828" s="680"/>
      <c r="B828" s="681"/>
      <c r="C828" s="699" t="s">
        <v>1367</v>
      </c>
      <c r="D828" s="683">
        <v>130000</v>
      </c>
      <c r="E828" s="683">
        <v>0</v>
      </c>
      <c r="F828" s="684">
        <f t="shared" si="47"/>
        <v>0</v>
      </c>
      <c r="G828" s="678"/>
    </row>
    <row r="829" spans="1:8" s="721" customFormat="1" ht="18.75" customHeight="1">
      <c r="A829" s="704"/>
      <c r="B829" s="691" t="s">
        <v>49</v>
      </c>
      <c r="C829" s="692" t="s">
        <v>983</v>
      </c>
      <c r="D829" s="452">
        <f>SUM(D830,D835)</f>
        <v>760530</v>
      </c>
      <c r="E829" s="452">
        <f>SUM(E830,E835)</f>
        <v>418767.82999999996</v>
      </c>
      <c r="F829" s="693">
        <f t="shared" si="47"/>
        <v>55.06263132289324</v>
      </c>
      <c r="G829" s="678"/>
      <c r="H829" s="221"/>
    </row>
    <row r="830" spans="1:7" s="460" customFormat="1" ht="18.75" customHeight="1">
      <c r="A830" s="694"/>
      <c r="B830" s="695"/>
      <c r="C830" s="696" t="s">
        <v>185</v>
      </c>
      <c r="D830" s="458">
        <f>SUM(D831,D834)</f>
        <v>733673</v>
      </c>
      <c r="E830" s="458">
        <f>SUM(E831,E834)</f>
        <v>418767.82999999996</v>
      </c>
      <c r="F830" s="697">
        <f t="shared" si="47"/>
        <v>57.07826647566422</v>
      </c>
      <c r="G830" s="700"/>
    </row>
    <row r="831" spans="1:7" s="221" customFormat="1" ht="18" customHeight="1">
      <c r="A831" s="698"/>
      <c r="B831" s="681"/>
      <c r="C831" s="699" t="s">
        <v>284</v>
      </c>
      <c r="D831" s="683">
        <f>SUM(D832,D833)</f>
        <v>732673</v>
      </c>
      <c r="E831" s="683">
        <f>SUM(E832,E833)</f>
        <v>418750.95999999996</v>
      </c>
      <c r="F831" s="684">
        <f t="shared" si="47"/>
        <v>57.15386809668159</v>
      </c>
      <c r="G831" s="678"/>
    </row>
    <row r="832" spans="1:7" s="679" customFormat="1" ht="18.75" customHeight="1">
      <c r="A832" s="673"/>
      <c r="B832" s="674"/>
      <c r="C832" s="675" t="s">
        <v>668</v>
      </c>
      <c r="D832" s="676">
        <v>675457</v>
      </c>
      <c r="E832" s="676">
        <v>368835.86</v>
      </c>
      <c r="F832" s="677">
        <f t="shared" si="47"/>
        <v>54.60537976510717</v>
      </c>
      <c r="G832" s="678"/>
    </row>
    <row r="833" spans="1:7" s="679" customFormat="1" ht="18.75" customHeight="1">
      <c r="A833" s="673"/>
      <c r="B833" s="674"/>
      <c r="C833" s="675" t="s">
        <v>285</v>
      </c>
      <c r="D833" s="676">
        <v>57216</v>
      </c>
      <c r="E833" s="676">
        <v>49915.1</v>
      </c>
      <c r="F833" s="677">
        <f t="shared" si="47"/>
        <v>87.23975810961969</v>
      </c>
      <c r="G833" s="678"/>
    </row>
    <row r="834" spans="1:7" s="221" customFormat="1" ht="18.75" customHeight="1">
      <c r="A834" s="680"/>
      <c r="B834" s="681"/>
      <c r="C834" s="682" t="s">
        <v>296</v>
      </c>
      <c r="D834" s="683">
        <v>1000</v>
      </c>
      <c r="E834" s="683">
        <v>16.87</v>
      </c>
      <c r="F834" s="684">
        <f>E834/D834*100</f>
        <v>1.687</v>
      </c>
      <c r="G834" s="678"/>
    </row>
    <row r="835" spans="1:7" s="221" customFormat="1" ht="18.75" customHeight="1">
      <c r="A835" s="680"/>
      <c r="B835" s="681"/>
      <c r="C835" s="696" t="s">
        <v>287</v>
      </c>
      <c r="D835" s="458">
        <f>SUM(D836)</f>
        <v>26857</v>
      </c>
      <c r="E835" s="458">
        <f>SUM(E836)</f>
        <v>0</v>
      </c>
      <c r="F835" s="684">
        <f>E835/D835*100</f>
        <v>0</v>
      </c>
      <c r="G835" s="678"/>
    </row>
    <row r="836" spans="1:7" s="221" customFormat="1" ht="29.25" customHeight="1">
      <c r="A836" s="680"/>
      <c r="B836" s="681"/>
      <c r="C836" s="699" t="s">
        <v>1367</v>
      </c>
      <c r="D836" s="683">
        <v>26857</v>
      </c>
      <c r="E836" s="683">
        <v>0</v>
      </c>
      <c r="F836" s="684">
        <f>E836/D836*100</f>
        <v>0</v>
      </c>
      <c r="G836" s="678"/>
    </row>
    <row r="837" spans="1:7" s="221" customFormat="1" ht="18.75" customHeight="1">
      <c r="A837" s="704"/>
      <c r="B837" s="691" t="s">
        <v>52</v>
      </c>
      <c r="C837" s="692" t="s">
        <v>984</v>
      </c>
      <c r="D837" s="452">
        <f>D838</f>
        <v>278389</v>
      </c>
      <c r="E837" s="452">
        <f>E838</f>
        <v>155422.3</v>
      </c>
      <c r="F837" s="693">
        <f t="shared" si="47"/>
        <v>55.8291814690954</v>
      </c>
      <c r="G837" s="678"/>
    </row>
    <row r="838" spans="1:7" s="460" customFormat="1" ht="18.75" customHeight="1">
      <c r="A838" s="694"/>
      <c r="B838" s="695"/>
      <c r="C838" s="696" t="s">
        <v>185</v>
      </c>
      <c r="D838" s="458">
        <f>SUM(D839,D842)</f>
        <v>278389</v>
      </c>
      <c r="E838" s="458">
        <f>SUM(E839,E842)</f>
        <v>155422.3</v>
      </c>
      <c r="F838" s="697">
        <f t="shared" si="47"/>
        <v>55.8291814690954</v>
      </c>
      <c r="G838" s="700"/>
    </row>
    <row r="839" spans="1:7" s="221" customFormat="1" ht="18" customHeight="1">
      <c r="A839" s="698"/>
      <c r="B839" s="681"/>
      <c r="C839" s="699" t="s">
        <v>284</v>
      </c>
      <c r="D839" s="683">
        <f>SUM(D840,D841)</f>
        <v>277889</v>
      </c>
      <c r="E839" s="683">
        <f>SUM(E840,E841)</f>
        <v>155422.3</v>
      </c>
      <c r="F839" s="684">
        <f t="shared" si="47"/>
        <v>55.929633774636635</v>
      </c>
      <c r="G839" s="678"/>
    </row>
    <row r="840" spans="1:7" s="679" customFormat="1" ht="18.75" customHeight="1">
      <c r="A840" s="673"/>
      <c r="B840" s="674"/>
      <c r="C840" s="675" t="s">
        <v>668</v>
      </c>
      <c r="D840" s="676">
        <v>269502</v>
      </c>
      <c r="E840" s="676">
        <v>147035.3</v>
      </c>
      <c r="F840" s="677">
        <f t="shared" si="47"/>
        <v>54.558147991480574</v>
      </c>
      <c r="G840" s="678"/>
    </row>
    <row r="841" spans="1:7" s="679" customFormat="1" ht="18.75" customHeight="1">
      <c r="A841" s="673"/>
      <c r="B841" s="674"/>
      <c r="C841" s="675" t="s">
        <v>285</v>
      </c>
      <c r="D841" s="676">
        <v>8387</v>
      </c>
      <c r="E841" s="676">
        <v>8387</v>
      </c>
      <c r="F841" s="677">
        <f t="shared" si="47"/>
        <v>100</v>
      </c>
      <c r="G841" s="678"/>
    </row>
    <row r="842" spans="1:7" s="221" customFormat="1" ht="18.75" customHeight="1">
      <c r="A842" s="680"/>
      <c r="B842" s="681"/>
      <c r="C842" s="682" t="s">
        <v>296</v>
      </c>
      <c r="D842" s="683">
        <v>500</v>
      </c>
      <c r="E842" s="683">
        <v>0</v>
      </c>
      <c r="F842" s="684">
        <f t="shared" si="47"/>
        <v>0</v>
      </c>
      <c r="G842" s="678"/>
    </row>
    <row r="843" spans="1:7" s="174" customFormat="1" ht="18.75" customHeight="1">
      <c r="A843" s="704"/>
      <c r="B843" s="691" t="s">
        <v>985</v>
      </c>
      <c r="C843" s="454" t="s">
        <v>648</v>
      </c>
      <c r="D843" s="452">
        <f>SUM(D844)</f>
        <v>728151</v>
      </c>
      <c r="E843" s="452">
        <f>SUM(E844)</f>
        <v>328332.69</v>
      </c>
      <c r="F843" s="684">
        <f t="shared" si="47"/>
        <v>45.09129150409736</v>
      </c>
      <c r="G843" s="173"/>
    </row>
    <row r="844" spans="1:7" s="460" customFormat="1" ht="18.75" customHeight="1">
      <c r="A844" s="694"/>
      <c r="B844" s="695"/>
      <c r="C844" s="696" t="s">
        <v>185</v>
      </c>
      <c r="D844" s="458">
        <f>SUM(D845)</f>
        <v>728151</v>
      </c>
      <c r="E844" s="458">
        <f>SUM(E845)</f>
        <v>328332.69</v>
      </c>
      <c r="F844" s="697">
        <f t="shared" si="47"/>
        <v>45.09129150409736</v>
      </c>
      <c r="G844" s="700"/>
    </row>
    <row r="845" spans="1:7" s="221" customFormat="1" ht="18" customHeight="1">
      <c r="A845" s="698"/>
      <c r="B845" s="681"/>
      <c r="C845" s="699" t="s">
        <v>286</v>
      </c>
      <c r="D845" s="683">
        <v>728151</v>
      </c>
      <c r="E845" s="683">
        <v>328332.69</v>
      </c>
      <c r="F845" s="684">
        <f t="shared" si="47"/>
        <v>45.09129150409736</v>
      </c>
      <c r="G845" s="678"/>
    </row>
    <row r="846" spans="1:8" s="721" customFormat="1" ht="18.75" customHeight="1">
      <c r="A846" s="704"/>
      <c r="B846" s="691" t="s">
        <v>986</v>
      </c>
      <c r="C846" s="692" t="s">
        <v>723</v>
      </c>
      <c r="D846" s="452">
        <f>D849</f>
        <v>18785</v>
      </c>
      <c r="E846" s="452">
        <f>E849</f>
        <v>7293.08</v>
      </c>
      <c r="F846" s="693">
        <f t="shared" si="47"/>
        <v>38.82395528347086</v>
      </c>
      <c r="G846" s="678"/>
      <c r="H846" s="221"/>
    </row>
    <row r="847" spans="1:7" s="460" customFormat="1" ht="18.75" customHeight="1">
      <c r="A847" s="694"/>
      <c r="B847" s="695"/>
      <c r="C847" s="696" t="s">
        <v>185</v>
      </c>
      <c r="D847" s="458">
        <f>SUM(D848)</f>
        <v>18785</v>
      </c>
      <c r="E847" s="458">
        <f>SUM(E848)</f>
        <v>7293.08</v>
      </c>
      <c r="F847" s="697">
        <f t="shared" si="47"/>
        <v>38.82395528347086</v>
      </c>
      <c r="G847" s="700"/>
    </row>
    <row r="848" spans="1:7" s="221" customFormat="1" ht="18" customHeight="1">
      <c r="A848" s="698"/>
      <c r="B848" s="681"/>
      <c r="C848" s="699" t="s">
        <v>284</v>
      </c>
      <c r="D848" s="683">
        <f>SUM(D849)</f>
        <v>18785</v>
      </c>
      <c r="E848" s="683">
        <f>SUM(E849)</f>
        <v>7293.08</v>
      </c>
      <c r="F848" s="684">
        <f t="shared" si="47"/>
        <v>38.82395528347086</v>
      </c>
      <c r="G848" s="678"/>
    </row>
    <row r="849" spans="1:7" s="679" customFormat="1" ht="18.75" customHeight="1">
      <c r="A849" s="673"/>
      <c r="B849" s="674"/>
      <c r="C849" s="675" t="s">
        <v>285</v>
      </c>
      <c r="D849" s="676">
        <v>18785</v>
      </c>
      <c r="E849" s="676">
        <v>7293.08</v>
      </c>
      <c r="F849" s="677">
        <f t="shared" si="47"/>
        <v>38.82395528347086</v>
      </c>
      <c r="G849" s="678"/>
    </row>
    <row r="850" spans="1:8" s="721" customFormat="1" ht="18.75" customHeight="1">
      <c r="A850" s="704"/>
      <c r="B850" s="691" t="s">
        <v>987</v>
      </c>
      <c r="C850" s="692" t="s">
        <v>1358</v>
      </c>
      <c r="D850" s="452">
        <f>SUM(D851)</f>
        <v>5636</v>
      </c>
      <c r="E850" s="452">
        <f>SUM(E851)</f>
        <v>1450</v>
      </c>
      <c r="F850" s="693">
        <f aca="true" t="shared" si="48" ref="F850:F868">E850/D850*100</f>
        <v>25.72746628814762</v>
      </c>
      <c r="G850" s="678"/>
      <c r="H850" s="221"/>
    </row>
    <row r="851" spans="1:7" s="460" customFormat="1" ht="18.75" customHeight="1">
      <c r="A851" s="694"/>
      <c r="B851" s="695"/>
      <c r="C851" s="696" t="s">
        <v>185</v>
      </c>
      <c r="D851" s="458">
        <f>SUM(D852,D855)</f>
        <v>5636</v>
      </c>
      <c r="E851" s="458">
        <f>SUM(E852,E855)</f>
        <v>1450</v>
      </c>
      <c r="F851" s="697">
        <f t="shared" si="48"/>
        <v>25.72746628814762</v>
      </c>
      <c r="G851" s="700"/>
    </row>
    <row r="852" spans="1:7" s="221" customFormat="1" ht="18" customHeight="1" hidden="1">
      <c r="A852" s="698"/>
      <c r="B852" s="681"/>
      <c r="C852" s="699" t="s">
        <v>284</v>
      </c>
      <c r="D852" s="683">
        <f>SUM(D853,D854)</f>
        <v>0</v>
      </c>
      <c r="E852" s="683">
        <f>SUM(E853,E854)</f>
        <v>0</v>
      </c>
      <c r="F852" s="684" t="e">
        <f t="shared" si="48"/>
        <v>#DIV/0!</v>
      </c>
      <c r="G852" s="678"/>
    </row>
    <row r="853" spans="1:7" s="679" customFormat="1" ht="18.75" customHeight="1" hidden="1">
      <c r="A853" s="673"/>
      <c r="B853" s="674"/>
      <c r="C853" s="675" t="s">
        <v>668</v>
      </c>
      <c r="D853" s="676">
        <v>0</v>
      </c>
      <c r="E853" s="676">
        <v>0</v>
      </c>
      <c r="F853" s="677" t="e">
        <f t="shared" si="48"/>
        <v>#DIV/0!</v>
      </c>
      <c r="G853" s="678"/>
    </row>
    <row r="854" spans="1:7" s="679" customFormat="1" ht="18.75" customHeight="1" hidden="1">
      <c r="A854" s="673"/>
      <c r="B854" s="674"/>
      <c r="C854" s="675" t="s">
        <v>285</v>
      </c>
      <c r="D854" s="676">
        <v>0</v>
      </c>
      <c r="E854" s="676">
        <v>0</v>
      </c>
      <c r="F854" s="677" t="e">
        <f t="shared" si="48"/>
        <v>#DIV/0!</v>
      </c>
      <c r="G854" s="678"/>
    </row>
    <row r="855" spans="1:7" s="221" customFormat="1" ht="18.75" customHeight="1">
      <c r="A855" s="680"/>
      <c r="B855" s="681"/>
      <c r="C855" s="682" t="s">
        <v>296</v>
      </c>
      <c r="D855" s="683">
        <v>5636</v>
      </c>
      <c r="E855" s="683">
        <v>1450</v>
      </c>
      <c r="F855" s="684">
        <f t="shared" si="48"/>
        <v>25.72746628814762</v>
      </c>
      <c r="G855" s="678"/>
    </row>
    <row r="856" spans="1:7" s="221" customFormat="1" ht="24.75" customHeight="1">
      <c r="A856" s="719" t="s">
        <v>53</v>
      </c>
      <c r="B856" s="686"/>
      <c r="C856" s="702" t="s">
        <v>1000</v>
      </c>
      <c r="D856" s="688">
        <f>SUM(D857,D861,D865,D869)</f>
        <v>1373058</v>
      </c>
      <c r="E856" s="688">
        <f>SUM(E857,E861,E865,E869)</f>
        <v>400926.30000000005</v>
      </c>
      <c r="F856" s="689">
        <f t="shared" si="48"/>
        <v>29.19951669922174</v>
      </c>
      <c r="G856" s="678"/>
    </row>
    <row r="857" spans="1:7" s="221" customFormat="1" ht="18.75" customHeight="1">
      <c r="A857" s="704"/>
      <c r="B857" s="691" t="s">
        <v>54</v>
      </c>
      <c r="C857" s="454" t="s">
        <v>229</v>
      </c>
      <c r="D857" s="452">
        <f aca="true" t="shared" si="49" ref="D857:E859">SUM(D858)</f>
        <v>275000</v>
      </c>
      <c r="E857" s="452">
        <f t="shared" si="49"/>
        <v>38211.03</v>
      </c>
      <c r="F857" s="684">
        <f t="shared" si="48"/>
        <v>13.894919999999999</v>
      </c>
      <c r="G857" s="678"/>
    </row>
    <row r="858" spans="1:7" s="460" customFormat="1" ht="18.75" customHeight="1">
      <c r="A858" s="694"/>
      <c r="B858" s="695"/>
      <c r="C858" s="696" t="s">
        <v>185</v>
      </c>
      <c r="D858" s="458">
        <f t="shared" si="49"/>
        <v>275000</v>
      </c>
      <c r="E858" s="458">
        <f t="shared" si="49"/>
        <v>38211.03</v>
      </c>
      <c r="F858" s="697">
        <f t="shared" si="48"/>
        <v>13.894919999999999</v>
      </c>
      <c r="G858" s="700"/>
    </row>
    <row r="859" spans="1:7" s="221" customFormat="1" ht="18" customHeight="1">
      <c r="A859" s="698"/>
      <c r="B859" s="681"/>
      <c r="C859" s="699" t="s">
        <v>284</v>
      </c>
      <c r="D859" s="683">
        <f t="shared" si="49"/>
        <v>275000</v>
      </c>
      <c r="E859" s="683">
        <f t="shared" si="49"/>
        <v>38211.03</v>
      </c>
      <c r="F859" s="684">
        <f t="shared" si="48"/>
        <v>13.894919999999999</v>
      </c>
      <c r="G859" s="678"/>
    </row>
    <row r="860" spans="1:7" s="679" customFormat="1" ht="18.75" customHeight="1">
      <c r="A860" s="673"/>
      <c r="B860" s="674"/>
      <c r="C860" s="675" t="s">
        <v>285</v>
      </c>
      <c r="D860" s="676">
        <v>275000</v>
      </c>
      <c r="E860" s="676">
        <v>38211.03</v>
      </c>
      <c r="F860" s="677">
        <f t="shared" si="48"/>
        <v>13.894919999999999</v>
      </c>
      <c r="G860" s="678"/>
    </row>
    <row r="861" spans="1:7" s="221" customFormat="1" ht="18.75" customHeight="1">
      <c r="A861" s="704"/>
      <c r="B861" s="691" t="s">
        <v>1003</v>
      </c>
      <c r="C861" s="454" t="s">
        <v>1004</v>
      </c>
      <c r="D861" s="452">
        <f>SUM(D864)</f>
        <v>4400</v>
      </c>
      <c r="E861" s="452">
        <f>SUM(E864)</f>
        <v>2214</v>
      </c>
      <c r="F861" s="684">
        <f t="shared" si="48"/>
        <v>50.31818181818182</v>
      </c>
      <c r="G861" s="678"/>
    </row>
    <row r="862" spans="1:7" s="460" customFormat="1" ht="18.75" customHeight="1">
      <c r="A862" s="694"/>
      <c r="B862" s="695"/>
      <c r="C862" s="696" t="s">
        <v>185</v>
      </c>
      <c r="D862" s="458">
        <f>SUM(D863)</f>
        <v>4400</v>
      </c>
      <c r="E862" s="458">
        <f>SUM(E863)</f>
        <v>2214</v>
      </c>
      <c r="F862" s="697">
        <f t="shared" si="48"/>
        <v>50.31818181818182</v>
      </c>
      <c r="G862" s="700"/>
    </row>
    <row r="863" spans="1:7" s="221" customFormat="1" ht="18" customHeight="1">
      <c r="A863" s="698"/>
      <c r="B863" s="681"/>
      <c r="C863" s="699" t="s">
        <v>284</v>
      </c>
      <c r="D863" s="683">
        <f>SUM(D864)</f>
        <v>4400</v>
      </c>
      <c r="E863" s="683">
        <f>SUM(E864)</f>
        <v>2214</v>
      </c>
      <c r="F863" s="684">
        <f t="shared" si="48"/>
        <v>50.31818181818182</v>
      </c>
      <c r="G863" s="678"/>
    </row>
    <row r="864" spans="1:7" s="679" customFormat="1" ht="18.75" customHeight="1">
      <c r="A864" s="673"/>
      <c r="B864" s="674"/>
      <c r="C864" s="675" t="s">
        <v>285</v>
      </c>
      <c r="D864" s="676">
        <v>4400</v>
      </c>
      <c r="E864" s="676">
        <v>2214</v>
      </c>
      <c r="F864" s="677">
        <f t="shared" si="48"/>
        <v>50.31818181818182</v>
      </c>
      <c r="G864" s="678"/>
    </row>
    <row r="865" spans="1:8" s="721" customFormat="1" ht="18.75" customHeight="1">
      <c r="A865" s="704"/>
      <c r="B865" s="691" t="s">
        <v>55</v>
      </c>
      <c r="C865" s="692" t="s">
        <v>56</v>
      </c>
      <c r="D865" s="452">
        <f>SUM(D868)</f>
        <v>1031000</v>
      </c>
      <c r="E865" s="452">
        <f>SUM(E868)</f>
        <v>355609.27</v>
      </c>
      <c r="F865" s="693">
        <f t="shared" si="48"/>
        <v>34.49168477206596</v>
      </c>
      <c r="G865" s="678"/>
      <c r="H865" s="221"/>
    </row>
    <row r="866" spans="1:7" s="460" customFormat="1" ht="15" customHeight="1">
      <c r="A866" s="694"/>
      <c r="B866" s="695"/>
      <c r="C866" s="696" t="s">
        <v>185</v>
      </c>
      <c r="D866" s="458">
        <f>SUM(D867)</f>
        <v>1031000</v>
      </c>
      <c r="E866" s="458">
        <f>SUM(E867)</f>
        <v>355609.27</v>
      </c>
      <c r="F866" s="697">
        <f t="shared" si="48"/>
        <v>34.49168477206596</v>
      </c>
      <c r="G866" s="700"/>
    </row>
    <row r="867" spans="1:7" s="221" customFormat="1" ht="16.5" customHeight="1">
      <c r="A867" s="698"/>
      <c r="B867" s="681"/>
      <c r="C867" s="699" t="s">
        <v>284</v>
      </c>
      <c r="D867" s="683">
        <f>SUM(D868)</f>
        <v>1031000</v>
      </c>
      <c r="E867" s="683">
        <f>SUM(E868)</f>
        <v>355609.27</v>
      </c>
      <c r="F867" s="684">
        <f t="shared" si="48"/>
        <v>34.49168477206596</v>
      </c>
      <c r="G867" s="678"/>
    </row>
    <row r="868" spans="1:7" s="679" customFormat="1" ht="15.75" customHeight="1">
      <c r="A868" s="673"/>
      <c r="B868" s="674"/>
      <c r="C868" s="675" t="s">
        <v>285</v>
      </c>
      <c r="D868" s="676">
        <v>1031000</v>
      </c>
      <c r="E868" s="676">
        <v>355609.27</v>
      </c>
      <c r="F868" s="677">
        <f t="shared" si="48"/>
        <v>34.49168477206596</v>
      </c>
      <c r="G868" s="678"/>
    </row>
    <row r="869" spans="1:8" s="721" customFormat="1" ht="18.75" customHeight="1">
      <c r="A869" s="704"/>
      <c r="B869" s="691" t="s">
        <v>57</v>
      </c>
      <c r="C869" s="692" t="s">
        <v>1358</v>
      </c>
      <c r="D869" s="452">
        <f>SUM(D872)</f>
        <v>62658</v>
      </c>
      <c r="E869" s="452">
        <f>SUM(E872)</f>
        <v>4892</v>
      </c>
      <c r="F869" s="693">
        <f>E869/D869*100</f>
        <v>7.807462734207922</v>
      </c>
      <c r="G869" s="678"/>
      <c r="H869" s="221"/>
    </row>
    <row r="870" spans="1:7" s="460" customFormat="1" ht="15" customHeight="1">
      <c r="A870" s="694"/>
      <c r="B870" s="695"/>
      <c r="C870" s="696" t="s">
        <v>185</v>
      </c>
      <c r="D870" s="458">
        <f>SUM(D871)</f>
        <v>62658</v>
      </c>
      <c r="E870" s="458">
        <f>SUM(E871)</f>
        <v>4892</v>
      </c>
      <c r="F870" s="697">
        <f>E870/D870*100</f>
        <v>7.807462734207922</v>
      </c>
      <c r="G870" s="700"/>
    </row>
    <row r="871" spans="1:7" s="221" customFormat="1" ht="16.5" customHeight="1">
      <c r="A871" s="698"/>
      <c r="B871" s="681"/>
      <c r="C871" s="699" t="s">
        <v>284</v>
      </c>
      <c r="D871" s="683">
        <f>SUM(D872)</f>
        <v>62658</v>
      </c>
      <c r="E871" s="683">
        <f>SUM(E872)</f>
        <v>4892</v>
      </c>
      <c r="F871" s="684">
        <f>E871/D871*100</f>
        <v>7.807462734207922</v>
      </c>
      <c r="G871" s="678"/>
    </row>
    <row r="872" spans="1:7" s="679" customFormat="1" ht="15.75" customHeight="1">
      <c r="A872" s="743"/>
      <c r="B872" s="744"/>
      <c r="C872" s="745" t="s">
        <v>285</v>
      </c>
      <c r="D872" s="746">
        <v>62658</v>
      </c>
      <c r="E872" s="746">
        <v>4892</v>
      </c>
      <c r="F872" s="747">
        <f>E872/D872*100</f>
        <v>7.807462734207922</v>
      </c>
      <c r="G872" s="678"/>
    </row>
    <row r="873" spans="1:8" s="548" customFormat="1" ht="18.75" customHeight="1">
      <c r="A873" s="670"/>
      <c r="B873" s="671"/>
      <c r="C873" s="781" t="s">
        <v>1441</v>
      </c>
      <c r="D873" s="382">
        <f>SUM(D874,D884)</f>
        <v>163323813.11</v>
      </c>
      <c r="E873" s="382">
        <f>SUM(E874,E884)</f>
        <v>67658016.03999999</v>
      </c>
      <c r="F873" s="556">
        <f aca="true" t="shared" si="50" ref="F873:F884">E873/D873*100</f>
        <v>41.42568970908837</v>
      </c>
      <c r="G873" s="173"/>
      <c r="H873" s="174"/>
    </row>
    <row r="874" spans="1:7" s="577" customFormat="1" ht="18.75" customHeight="1">
      <c r="A874" s="571"/>
      <c r="B874" s="572"/>
      <c r="C874" s="573" t="s">
        <v>185</v>
      </c>
      <c r="D874" s="574">
        <f>SUM(D875,D878,D880,D881,D882,D883)</f>
        <v>124037289.11</v>
      </c>
      <c r="E874" s="574">
        <f>SUM(E875,E878,E880,E881,E882,E883)</f>
        <v>55443829.33</v>
      </c>
      <c r="F874" s="575">
        <f t="shared" si="50"/>
        <v>44.69932366937715</v>
      </c>
      <c r="G874" s="576"/>
    </row>
    <row r="875" spans="1:7" s="584" customFormat="1" ht="18" customHeight="1">
      <c r="A875" s="578"/>
      <c r="B875" s="579"/>
      <c r="C875" s="580" t="s">
        <v>284</v>
      </c>
      <c r="D875" s="581">
        <f>SUM(D876,D877)</f>
        <v>85325225.11</v>
      </c>
      <c r="E875" s="581">
        <f>SUM(E876,E877)</f>
        <v>38505610.23</v>
      </c>
      <c r="F875" s="582">
        <f t="shared" si="50"/>
        <v>45.12804997626334</v>
      </c>
      <c r="G875" s="583"/>
    </row>
    <row r="876" spans="1:7" s="590" customFormat="1" ht="18.75" customHeight="1">
      <c r="A876" s="585"/>
      <c r="B876" s="586"/>
      <c r="C876" s="587" t="s">
        <v>285</v>
      </c>
      <c r="D876" s="588">
        <f>SUM(D13,D20,D25,D30,D36,D43,D50,D58,D64,D81,D87,D95,D99,D103,D111,D116,D124,D133,D139,D145,D161,D167,D174,D181,D189,D194,D200,D207+D211+D217+D232+D238+D248+D254+D263+D269+D277+D281+D286+D292+D300+D308+D313+D319+D331+D339+D345+D355+D349+D365+D377+D392+D400+D409+D418+D427+D438+D448+D455+D461+D466+D479+D484+D491+D496+D505+D510+D520+D537+D545+D559)+D443+D473</f>
        <v>40194065.11</v>
      </c>
      <c r="E876" s="588">
        <f>SUM(E13,E20,E25,E30,E36,E43,E50,E58,E64,E81,E87,E95,E99,E103,E111,E116,E124,E133,E139,E145,E161,E167,E174,E181,E189,E194,E200,E207+E211+E217+E232+E238+E248+E254+E263+E269+E277+E281+E286+E292+E300+E308+E313+E319+E331+E339+E345+E355+E349+E365+E377+E392+E400+E409+E418+E427+E438+E448+E455+E461+E466+E479+E484+E491+E496+E505+E510+E520+E537+E545+E559)+E443+E473</f>
        <v>16133897.899999997</v>
      </c>
      <c r="F876" s="589">
        <f t="shared" si="50"/>
        <v>40.14000041012522</v>
      </c>
      <c r="G876" s="583"/>
    </row>
    <row r="877" spans="1:7" s="590" customFormat="1" ht="18.75" customHeight="1">
      <c r="A877" s="585"/>
      <c r="B877" s="586"/>
      <c r="C877" s="587" t="s">
        <v>668</v>
      </c>
      <c r="D877" s="588">
        <f>SUM(D12,D35,D49,D57,D63,D80,D94,D110,D115,D123,D132,D138,D144,D156,D160,D166,D180,D193,D199,D216,D237,D247,D253,D262,D268,D285,D291,D299,D307)+D318+D330+D354+D364+D371+D376+D391+D399+D408+D417+D426+D437+D447+D465+D483+D509+D544+D558+D360+D472</f>
        <v>45131160</v>
      </c>
      <c r="E877" s="588">
        <f>SUM(E12,E35,E49,E57,E63,E80,E94,E110,E115,E123,E132,E138,E144,E156,E160,E166,E180,E193,E199,E216,E237,E247,E253,E262,E268,E285,E291,E299,E307)+E318+E330+E354+E364+E371+E376+E391+E399+E408+E417+E426+E437+E447+E465+E483+E509+E544+E558+E360+E472</f>
        <v>22371712.33</v>
      </c>
      <c r="F877" s="589">
        <f t="shared" si="50"/>
        <v>49.570434994358656</v>
      </c>
      <c r="G877" s="583"/>
    </row>
    <row r="878" spans="1:7" s="584" customFormat="1" ht="18.75" customHeight="1" hidden="1">
      <c r="A878" s="617"/>
      <c r="B878" s="769"/>
      <c r="C878" s="580" t="s">
        <v>303</v>
      </c>
      <c r="D878" s="581">
        <f>SUM(D879)</f>
        <v>0</v>
      </c>
      <c r="E878" s="581">
        <f>SUM(E879)</f>
        <v>0</v>
      </c>
      <c r="F878" s="1348" t="e">
        <f>SUM(F879)</f>
        <v>#DIV/0!</v>
      </c>
      <c r="G878" s="596"/>
    </row>
    <row r="879" spans="1:7" s="590" customFormat="1" ht="18.75" customHeight="1" hidden="1">
      <c r="A879" s="585"/>
      <c r="B879" s="586"/>
      <c r="C879" s="587" t="s">
        <v>62</v>
      </c>
      <c r="D879" s="1349">
        <f>SUM(D147)</f>
        <v>0</v>
      </c>
      <c r="E879" s="1349">
        <f>SUM(E147)</f>
        <v>0</v>
      </c>
      <c r="F879" s="1349" t="e">
        <f>SUM(F147)</f>
        <v>#DIV/0!</v>
      </c>
      <c r="G879" s="583"/>
    </row>
    <row r="880" spans="1:7" s="584" customFormat="1" ht="18.75" customHeight="1">
      <c r="A880" s="617"/>
      <c r="B880" s="769"/>
      <c r="C880" s="580" t="s">
        <v>286</v>
      </c>
      <c r="D880" s="581">
        <f>SUM(D16,D73,D148,D195,D228,D240,D249,D255,D264,D271,D293,D301,D314,D320,D326,D332,D350,D366,D372,D378,D386,D420,D428,D457,D492,D501,D511,D521,D526,D531)+D546+D560+D309+D356</f>
        <v>14342379</v>
      </c>
      <c r="E880" s="581">
        <f>SUM(E16,E73,E148,E195,E228,E240,E249,E255,E264,E271,E293,E301,E314,E320,E326,E332,E350,E366,E372,E378,E386,E420,E428,E457,E492,E501,E511,E521,E526,E531)+E546+E560+E309+E356</f>
        <v>7588338.99</v>
      </c>
      <c r="F880" s="582">
        <f t="shared" si="50"/>
        <v>52.9085097388655</v>
      </c>
      <c r="G880" s="596"/>
    </row>
    <row r="881" spans="1:7" s="584" customFormat="1" ht="18.75" customHeight="1">
      <c r="A881" s="617"/>
      <c r="B881" s="769"/>
      <c r="C881" s="667" t="s">
        <v>296</v>
      </c>
      <c r="D881" s="581">
        <f>SUM(D117,D125,D134,D140,D162,D168,D182,D201,D239,D256,D270,D287,D294,D367,D379,D383,D387,D393,D401,D404,D410,D419,D439,D449,D456,D467,D547,D561)</f>
        <v>11205654</v>
      </c>
      <c r="E881" s="581">
        <f>SUM(E117,E125,E134,E140,E162,E168,E182,E201,E239,E256,E270,E287,E294,E367,E379,E383,E387,E393,E401,E404,E410,E419,E439,E449,E456,E467,E547,E561)</f>
        <v>5957198.37</v>
      </c>
      <c r="F881" s="582">
        <f t="shared" si="50"/>
        <v>53.162433625025365</v>
      </c>
      <c r="G881" s="583"/>
    </row>
    <row r="882" spans="1:9" s="584" customFormat="1" ht="18.75" customHeight="1">
      <c r="A882" s="615"/>
      <c r="B882" s="780"/>
      <c r="C882" s="667" t="s">
        <v>304</v>
      </c>
      <c r="D882" s="581">
        <f>SUM(D65,D126,D149,D183,D380,D429)</f>
        <v>368000</v>
      </c>
      <c r="E882" s="581">
        <f>SUM(E65,E126,E149,E183,E380,E429)</f>
        <v>56806.2</v>
      </c>
      <c r="F882" s="582">
        <f t="shared" si="50"/>
        <v>15.436467391304348</v>
      </c>
      <c r="G882" s="596"/>
      <c r="I882" s="584" t="s">
        <v>557</v>
      </c>
    </row>
    <row r="883" spans="1:7" s="584" customFormat="1" ht="21.75" customHeight="1">
      <c r="A883" s="615"/>
      <c r="B883" s="780"/>
      <c r="C883" s="667" t="s">
        <v>298</v>
      </c>
      <c r="D883" s="581">
        <f>SUM(D221,D224)</f>
        <v>12796031</v>
      </c>
      <c r="E883" s="581">
        <f>SUM(E221,E224)</f>
        <v>3335875.54</v>
      </c>
      <c r="F883" s="582">
        <f t="shared" si="50"/>
        <v>26.069611272432837</v>
      </c>
      <c r="G883" s="596"/>
    </row>
    <row r="884" spans="1:7" s="577" customFormat="1" ht="18.75" customHeight="1">
      <c r="A884" s="571"/>
      <c r="B884" s="572"/>
      <c r="C884" s="573" t="s">
        <v>287</v>
      </c>
      <c r="D884" s="574">
        <f>SUM(D885,D886,D887)</f>
        <v>39286524</v>
      </c>
      <c r="E884" s="574">
        <f>SUM(E885,E886,E887)</f>
        <v>12214186.71</v>
      </c>
      <c r="F884" s="575">
        <f t="shared" si="50"/>
        <v>31.09001628650069</v>
      </c>
      <c r="G884" s="576"/>
    </row>
    <row r="885" spans="1:7" s="584" customFormat="1" ht="26.25" customHeight="1">
      <c r="A885" s="578"/>
      <c r="B885" s="579"/>
      <c r="C885" s="580" t="s">
        <v>1367</v>
      </c>
      <c r="D885" s="581">
        <f>SUM(D38,D52,D68,D75,D83,D89,D105,D119,D128,D151,D203,D242,D258,D303,D322,D334,D395,D422,D431,D451,D486,D498,D513,D528,D533,D540,D549,D553,D563)+D272+D341+D412+D475</f>
        <v>29123541</v>
      </c>
      <c r="E885" s="581">
        <f>SUM(E38,E52,E68,E75,E83,E89,E105,E119,E128,E151,E203,E242,E258,E303,E322,E334,E395,E422,E431,E451,E486,E498,E513,E528,E533,E540,E549,E553,E563)+E272+E341+E412+E475</f>
        <v>9176768.01</v>
      </c>
      <c r="F885" s="582">
        <f>E885/D885*100</f>
        <v>31.50979480826181</v>
      </c>
      <c r="G885" s="596"/>
    </row>
    <row r="886" spans="1:7" s="584" customFormat="1" ht="18" customHeight="1">
      <c r="A886" s="578"/>
      <c r="B886" s="579"/>
      <c r="C886" s="580" t="s">
        <v>304</v>
      </c>
      <c r="D886" s="581">
        <f>SUM(D53,D69,D76,D185,D243,D323,D432,D487,D514,D539,D554)+D523</f>
        <v>10162983</v>
      </c>
      <c r="E886" s="581">
        <f>SUM(E53,E69,E76,E185,E243,E323,E432,E487,E514,E539,E554)+E523</f>
        <v>3037418.7</v>
      </c>
      <c r="F886" s="582">
        <f>E886/D886*100</f>
        <v>29.88707842963036</v>
      </c>
      <c r="G886" s="596"/>
    </row>
    <row r="887" spans="1:7" s="570" customFormat="1" ht="42" customHeight="1" hidden="1">
      <c r="A887" s="782"/>
      <c r="B887" s="783"/>
      <c r="C887" s="784" t="s">
        <v>1365</v>
      </c>
      <c r="D887" s="785">
        <f>SUM(D45,D515)</f>
        <v>0</v>
      </c>
      <c r="E887" s="785">
        <f>SUM(E45,E515)</f>
        <v>0</v>
      </c>
      <c r="F887" s="786" t="e">
        <f>E887/D887*100</f>
        <v>#DIV/0!</v>
      </c>
      <c r="G887" s="569"/>
    </row>
    <row r="888" spans="1:10" s="548" customFormat="1" ht="18.75" customHeight="1">
      <c r="A888" s="670"/>
      <c r="B888" s="671"/>
      <c r="C888" s="781" t="s">
        <v>1318</v>
      </c>
      <c r="D888" s="382">
        <f>SUM(D889,D898)</f>
        <v>86324006.99</v>
      </c>
      <c r="E888" s="382">
        <f>SUM(E889,E898)</f>
        <v>39641376.14000001</v>
      </c>
      <c r="F888" s="1347">
        <f>E888/D888*100</f>
        <v>45.92161268022715</v>
      </c>
      <c r="G888" s="848"/>
      <c r="H888" s="849"/>
      <c r="I888" s="843"/>
      <c r="J888" s="843"/>
    </row>
    <row r="889" spans="1:7" s="577" customFormat="1" ht="18.75" customHeight="1">
      <c r="A889" s="571"/>
      <c r="B889" s="572"/>
      <c r="C889" s="573" t="s">
        <v>185</v>
      </c>
      <c r="D889" s="574">
        <f>SUM(D890,D893,D894,D895,D896,D897)</f>
        <v>70696828.99</v>
      </c>
      <c r="E889" s="574">
        <f>SUM(E890,E893,E894,E895,E896,E897)</f>
        <v>33015239.740000006</v>
      </c>
      <c r="F889" s="575">
        <f aca="true" t="shared" si="51" ref="F889:F898">E889/D889*100</f>
        <v>46.699746242748716</v>
      </c>
      <c r="G889" s="576"/>
    </row>
    <row r="890" spans="1:7" s="584" customFormat="1" ht="18" customHeight="1">
      <c r="A890" s="578"/>
      <c r="B890" s="579"/>
      <c r="C890" s="580" t="s">
        <v>284</v>
      </c>
      <c r="D890" s="581">
        <f>SUM(D891,D892)</f>
        <v>63528706.989999995</v>
      </c>
      <c r="E890" s="581">
        <f>SUM(E891,E892)</f>
        <v>30545854.630000003</v>
      </c>
      <c r="F890" s="582">
        <f t="shared" si="51"/>
        <v>48.08197124932544</v>
      </c>
      <c r="G890" s="583"/>
    </row>
    <row r="891" spans="1:7" s="590" customFormat="1" ht="18.75" customHeight="1">
      <c r="A891" s="585"/>
      <c r="B891" s="586"/>
      <c r="C891" s="587" t="s">
        <v>285</v>
      </c>
      <c r="D891" s="588">
        <f>SUM(D572,D583,D590,D594,D602,D614,D619,D624,D628,D643,D651,D657,D662,D667,D676,D686,D691,D696,D701,D708,D716,D724,D730,D734,D740,D746,D753,D761,D766)+D771+D776+D785+D792+D797+D805+D814+D819+D825+D833+D841+D849+D854+D860+D864+D868+D872</f>
        <v>28184299</v>
      </c>
      <c r="E891" s="588">
        <f>SUM(E572,E583,E590,E594,E602,E614,E619,E624,E628,E643,E651,E657,E662,E667,E676,E686,E691,E696,E701,E708,E716,E724,E730,E734,E740,E746,E753,E761,E766)+E771+E776+E792+E797+E805+E814+E819+E825+E833+E841+E849+E854+E860+E864+E868+E872</f>
        <v>12645453.67</v>
      </c>
      <c r="F891" s="589">
        <f t="shared" si="51"/>
        <v>44.86701503556998</v>
      </c>
      <c r="G891" s="583"/>
    </row>
    <row r="892" spans="1:7" s="590" customFormat="1" ht="18.75" customHeight="1">
      <c r="A892" s="585"/>
      <c r="B892" s="586"/>
      <c r="C892" s="587" t="s">
        <v>668</v>
      </c>
      <c r="D892" s="588">
        <f>SUM(D573,D595,D603,D615,D620,D629,D642,D656,D661,D666,D675,D685,D690,D700,D707,D715,D729,D739,D752,D760,D765,D770,D775,D791,D796,D804,D813,D818,D824,D832)+D840+D853</f>
        <v>35344407.989999995</v>
      </c>
      <c r="E892" s="588">
        <f>SUM(E573,E595,E603,E615,E620,E629,E642,E656,E661,E666,E675,E685,E690,E700,E707,E715,E729,E739,E752,E760,E765,E770,E775,E791,E796,E804,E813,E818,E824,E832)+E840+E853</f>
        <v>17900400.96</v>
      </c>
      <c r="F892" s="589">
        <f t="shared" si="51"/>
        <v>50.64563810225528</v>
      </c>
      <c r="G892" s="583"/>
    </row>
    <row r="893" spans="1:7" s="584" customFormat="1" ht="18.75" customHeight="1" hidden="1">
      <c r="A893" s="617"/>
      <c r="B893" s="769"/>
      <c r="C893" s="580" t="s">
        <v>303</v>
      </c>
      <c r="D893" s="581"/>
      <c r="E893" s="581"/>
      <c r="F893" s="582" t="e">
        <f t="shared" si="51"/>
        <v>#DIV/0!</v>
      </c>
      <c r="G893" s="596"/>
    </row>
    <row r="894" spans="1:7" s="584" customFormat="1" ht="18.75" customHeight="1">
      <c r="A894" s="617"/>
      <c r="B894" s="769"/>
      <c r="C894" s="580" t="s">
        <v>286</v>
      </c>
      <c r="D894" s="581">
        <f>SUM(D596,D633,D638,D645,D668,D677,D709,D717,D725,D741,D754,D781,D787,D820,D845)</f>
        <v>4906899</v>
      </c>
      <c r="E894" s="581">
        <f>SUM(E596,E633,E638,E645,E668,E677,E709,E717,E725,E741,E754,E781,E787,E820,E845)</f>
        <v>1464388.96</v>
      </c>
      <c r="F894" s="582">
        <f t="shared" si="51"/>
        <v>29.843470591100406</v>
      </c>
      <c r="G894" s="596"/>
    </row>
    <row r="895" spans="1:7" s="584" customFormat="1" ht="18.75" customHeight="1">
      <c r="A895" s="617"/>
      <c r="B895" s="769"/>
      <c r="C895" s="667" t="s">
        <v>296</v>
      </c>
      <c r="D895" s="581">
        <f>SUM(D575,D604,D644,D669,D678,D692,D702,D742,D755,D777,D798,D826,D834,D842,D855)</f>
        <v>2229973</v>
      </c>
      <c r="E895" s="581">
        <f>SUM(E575,E604,E644,E669,E678,E692,E702,E742,E755,E777,E798,E826,E834,E842,E855)</f>
        <v>989656.73</v>
      </c>
      <c r="F895" s="582">
        <f t="shared" si="51"/>
        <v>44.37976289399019</v>
      </c>
      <c r="G895" s="583"/>
    </row>
    <row r="896" spans="1:7" s="584" customFormat="1" ht="18.75" customHeight="1">
      <c r="A896" s="615"/>
      <c r="B896" s="780"/>
      <c r="C896" s="667" t="s">
        <v>304</v>
      </c>
      <c r="D896" s="581">
        <f>SUM(D574,D679,D756,D806)</f>
        <v>31250</v>
      </c>
      <c r="E896" s="581">
        <f>SUM(E574,E679,E756,E806)</f>
        <v>15339.42</v>
      </c>
      <c r="F896" s="582">
        <f t="shared" si="51"/>
        <v>49.086144</v>
      </c>
      <c r="G896" s="596"/>
    </row>
    <row r="897" spans="1:7" s="584" customFormat="1" ht="21.75" customHeight="1" hidden="1">
      <c r="A897" s="615"/>
      <c r="B897" s="780"/>
      <c r="C897" s="667" t="s">
        <v>298</v>
      </c>
      <c r="D897" s="581"/>
      <c r="E897" s="581"/>
      <c r="F897" s="582" t="e">
        <f t="shared" si="51"/>
        <v>#DIV/0!</v>
      </c>
      <c r="G897" s="596"/>
    </row>
    <row r="898" spans="1:7" s="577" customFormat="1" ht="17.25" customHeight="1">
      <c r="A898" s="571"/>
      <c r="B898" s="572"/>
      <c r="C898" s="573" t="s">
        <v>287</v>
      </c>
      <c r="D898" s="574">
        <f>SUM(D899,D900)</f>
        <v>15627178</v>
      </c>
      <c r="E898" s="574">
        <f>SUM(E899,E900)</f>
        <v>6626136.4</v>
      </c>
      <c r="F898" s="575">
        <f t="shared" si="51"/>
        <v>42.40136254927153</v>
      </c>
      <c r="G898" s="576"/>
    </row>
    <row r="899" spans="1:7" s="584" customFormat="1" ht="26.25" customHeight="1">
      <c r="A899" s="578"/>
      <c r="B899" s="579"/>
      <c r="C899" s="580" t="s">
        <v>1367</v>
      </c>
      <c r="D899" s="581">
        <f>SUM(D568,D577,D585,D598,D606,D609,D635,D647,D681,D711,D719,D748,D800,D827,D835)</f>
        <v>12636054</v>
      </c>
      <c r="E899" s="581">
        <f>SUM(E568,E577,E585,E598,E606,E609,E635,E647,E681,E711,E719,E748,E800,E827,E835)</f>
        <v>5567141.45</v>
      </c>
      <c r="F899" s="582">
        <f>E899/D899*100</f>
        <v>44.05759464149172</v>
      </c>
      <c r="G899" s="596"/>
    </row>
    <row r="900" spans="1:7" s="584" customFormat="1" ht="18.75" customHeight="1">
      <c r="A900" s="794"/>
      <c r="B900" s="795"/>
      <c r="C900" s="784" t="s">
        <v>304</v>
      </c>
      <c r="D900" s="785">
        <f>SUM(D578,D671,D720,D808)</f>
        <v>2991124</v>
      </c>
      <c r="E900" s="785">
        <f>SUM(E578,E671,E720,E808)</f>
        <v>1058994.9500000002</v>
      </c>
      <c r="F900" s="786">
        <f>E900/D900*100</f>
        <v>35.404582023346414</v>
      </c>
      <c r="G900" s="596"/>
    </row>
    <row r="901" spans="1:7" s="809" customFormat="1" ht="20.25" customHeight="1">
      <c r="A901" s="803"/>
      <c r="B901" s="804"/>
      <c r="C901" s="805" t="s">
        <v>25</v>
      </c>
      <c r="D901" s="806">
        <f>SUM(D902,D912)</f>
        <v>249647820.1</v>
      </c>
      <c r="E901" s="806">
        <f>SUM(E902,E912)</f>
        <v>107299392.18</v>
      </c>
      <c r="F901" s="807">
        <f aca="true" t="shared" si="52" ref="F901:F912">E901/D901*100</f>
        <v>42.98030406875562</v>
      </c>
      <c r="G901" s="808"/>
    </row>
    <row r="902" spans="1:7" s="802" customFormat="1" ht="14.25" customHeight="1">
      <c r="A902" s="796"/>
      <c r="B902" s="797"/>
      <c r="C902" s="798" t="s">
        <v>185</v>
      </c>
      <c r="D902" s="799">
        <f>SUM(D903,D906,D908,D909,D910,D911)</f>
        <v>194734118.1</v>
      </c>
      <c r="E902" s="799">
        <f>SUM(E903,E906,E908,E909,E910,E911)</f>
        <v>88459069.07000001</v>
      </c>
      <c r="F902" s="800">
        <f t="shared" si="52"/>
        <v>45.42556277918102</v>
      </c>
      <c r="G902" s="801"/>
    </row>
    <row r="903" spans="1:7" s="823" customFormat="1" ht="18" customHeight="1">
      <c r="A903" s="827"/>
      <c r="B903" s="828"/>
      <c r="C903" s="826" t="s">
        <v>284</v>
      </c>
      <c r="D903" s="820">
        <f>SUM(D904,D905)</f>
        <v>148853932.1</v>
      </c>
      <c r="E903" s="820">
        <f>SUM(E904,E905)</f>
        <v>69051464.86</v>
      </c>
      <c r="F903" s="821">
        <f t="shared" si="52"/>
        <v>46.3887408856699</v>
      </c>
      <c r="G903" s="815"/>
    </row>
    <row r="904" spans="1:7" s="816" customFormat="1" ht="18.75" customHeight="1">
      <c r="A904" s="810"/>
      <c r="B904" s="811"/>
      <c r="C904" s="812" t="s">
        <v>285</v>
      </c>
      <c r="D904" s="813">
        <f>SUM(D876,D891)</f>
        <v>68378364.11</v>
      </c>
      <c r="E904" s="813">
        <f>SUM(E876,E891)</f>
        <v>28779351.569999997</v>
      </c>
      <c r="F904" s="814">
        <f t="shared" si="52"/>
        <v>42.08838854890236</v>
      </c>
      <c r="G904" s="815"/>
    </row>
    <row r="905" spans="1:7" s="816" customFormat="1" ht="18.75" customHeight="1">
      <c r="A905" s="810"/>
      <c r="B905" s="811"/>
      <c r="C905" s="812" t="s">
        <v>668</v>
      </c>
      <c r="D905" s="813">
        <f>SUM(D877,D892)</f>
        <v>80475567.99</v>
      </c>
      <c r="E905" s="813">
        <f>SUM(E877,E892)</f>
        <v>40272113.29</v>
      </c>
      <c r="F905" s="814">
        <f t="shared" si="52"/>
        <v>50.04265803380756</v>
      </c>
      <c r="G905" s="815"/>
    </row>
    <row r="906" spans="1:7" s="107" customFormat="1" ht="18.75" customHeight="1" hidden="1">
      <c r="A906" s="113"/>
      <c r="B906" s="114"/>
      <c r="C906" s="104" t="s">
        <v>303</v>
      </c>
      <c r="D906" s="105">
        <f>SUM(D878)</f>
        <v>0</v>
      </c>
      <c r="E906" s="105">
        <f>SUM(E878)</f>
        <v>0</v>
      </c>
      <c r="F906" s="106" t="e">
        <f t="shared" si="52"/>
        <v>#DIV/0!</v>
      </c>
      <c r="G906" s="115"/>
    </row>
    <row r="907" spans="1:7" s="71" customFormat="1" ht="18.75" customHeight="1" hidden="1">
      <c r="A907" s="108"/>
      <c r="B907" s="109"/>
      <c r="C907" s="110" t="s">
        <v>62</v>
      </c>
      <c r="D907" s="111">
        <f>D879</f>
        <v>0</v>
      </c>
      <c r="E907" s="111">
        <f>E879</f>
        <v>0</v>
      </c>
      <c r="F907" s="112" t="e">
        <f t="shared" si="52"/>
        <v>#DIV/0!</v>
      </c>
      <c r="G907" s="64"/>
    </row>
    <row r="908" spans="1:7" s="823" customFormat="1" ht="18.75" customHeight="1">
      <c r="A908" s="824"/>
      <c r="B908" s="825"/>
      <c r="C908" s="826" t="s">
        <v>286</v>
      </c>
      <c r="D908" s="820">
        <f aca="true" t="shared" si="53" ref="D908:E910">SUM(D880,D894)</f>
        <v>19249278</v>
      </c>
      <c r="E908" s="820">
        <f t="shared" si="53"/>
        <v>9052727.95</v>
      </c>
      <c r="F908" s="821">
        <f t="shared" si="52"/>
        <v>47.02892207177848</v>
      </c>
      <c r="G908" s="822"/>
    </row>
    <row r="909" spans="1:7" s="823" customFormat="1" ht="18.75" customHeight="1">
      <c r="A909" s="824"/>
      <c r="B909" s="825"/>
      <c r="C909" s="819" t="s">
        <v>296</v>
      </c>
      <c r="D909" s="820">
        <f t="shared" si="53"/>
        <v>13435627</v>
      </c>
      <c r="E909" s="820">
        <f t="shared" si="53"/>
        <v>6946855.1</v>
      </c>
      <c r="F909" s="821">
        <f t="shared" si="52"/>
        <v>51.7047332439342</v>
      </c>
      <c r="G909" s="815"/>
    </row>
    <row r="910" spans="1:7" s="823" customFormat="1" ht="18" customHeight="1">
      <c r="A910" s="817"/>
      <c r="B910" s="818"/>
      <c r="C910" s="819" t="s">
        <v>304</v>
      </c>
      <c r="D910" s="820">
        <f t="shared" si="53"/>
        <v>399250</v>
      </c>
      <c r="E910" s="820">
        <f t="shared" si="53"/>
        <v>72145.62</v>
      </c>
      <c r="F910" s="821">
        <f t="shared" si="52"/>
        <v>18.070286787726985</v>
      </c>
      <c r="G910" s="822"/>
    </row>
    <row r="911" spans="1:7" s="823" customFormat="1" ht="18" customHeight="1">
      <c r="A911" s="817"/>
      <c r="B911" s="818"/>
      <c r="C911" s="819" t="s">
        <v>298</v>
      </c>
      <c r="D911" s="820">
        <f>SUM(D883)</f>
        <v>12796031</v>
      </c>
      <c r="E911" s="820">
        <f>SUM(E883)</f>
        <v>3335875.54</v>
      </c>
      <c r="F911" s="821">
        <f t="shared" si="52"/>
        <v>26.069611272432837</v>
      </c>
      <c r="G911" s="822"/>
    </row>
    <row r="912" spans="1:7" s="802" customFormat="1" ht="18.75" customHeight="1">
      <c r="A912" s="796"/>
      <c r="B912" s="797"/>
      <c r="C912" s="798" t="s">
        <v>287</v>
      </c>
      <c r="D912" s="799">
        <f>SUM(D913,D914,D915)</f>
        <v>54913702</v>
      </c>
      <c r="E912" s="799">
        <f>SUM(E913,E914,E915)</f>
        <v>18840323.11</v>
      </c>
      <c r="F912" s="800">
        <f t="shared" si="52"/>
        <v>34.30896556564334</v>
      </c>
      <c r="G912" s="801"/>
    </row>
    <row r="913" spans="1:7" s="823" customFormat="1" ht="37.5" customHeight="1">
      <c r="A913" s="827"/>
      <c r="B913" s="828"/>
      <c r="C913" s="826" t="s">
        <v>1367</v>
      </c>
      <c r="D913" s="820">
        <f>SUM(D885,D899)</f>
        <v>41759595</v>
      </c>
      <c r="E913" s="820">
        <f>SUM(E885,E899)</f>
        <v>14743909.46</v>
      </c>
      <c r="F913" s="821">
        <f>E913/D913*100</f>
        <v>35.30663901314177</v>
      </c>
      <c r="G913" s="822"/>
    </row>
    <row r="914" spans="1:7" s="823" customFormat="1" ht="18.75" customHeight="1">
      <c r="A914" s="827"/>
      <c r="B914" s="828"/>
      <c r="C914" s="826" t="s">
        <v>304</v>
      </c>
      <c r="D914" s="820">
        <f>SUM(D886,D900)</f>
        <v>13154107</v>
      </c>
      <c r="E914" s="820">
        <f>SUM(E886,E900)</f>
        <v>4096413.6500000004</v>
      </c>
      <c r="F914" s="821">
        <f>E914/D914*100</f>
        <v>31.141708441325587</v>
      </c>
      <c r="G914" s="822"/>
    </row>
    <row r="915" spans="1:7" s="835" customFormat="1" ht="42" customHeight="1" hidden="1" thickBot="1">
      <c r="A915" s="829"/>
      <c r="B915" s="830"/>
      <c r="C915" s="831" t="s">
        <v>1365</v>
      </c>
      <c r="D915" s="832">
        <f>SUM(D887)</f>
        <v>0</v>
      </c>
      <c r="E915" s="832">
        <f>SUM(E887)</f>
        <v>0</v>
      </c>
      <c r="F915" s="833" t="e">
        <f>E915/D915*100</f>
        <v>#DIV/0!</v>
      </c>
      <c r="G915" s="834"/>
    </row>
    <row r="916" spans="1:10" s="548" customFormat="1" ht="18.75" customHeight="1">
      <c r="A916" s="836"/>
      <c r="B916" s="837"/>
      <c r="C916" s="838" t="s">
        <v>59</v>
      </c>
      <c r="D916" s="839">
        <f>SUM(D873,D888)</f>
        <v>249647820.10000002</v>
      </c>
      <c r="E916" s="839">
        <f>SUM(E873,E888)</f>
        <v>107299392.18</v>
      </c>
      <c r="F916" s="840">
        <f>E916/D916*100</f>
        <v>42.980304068755615</v>
      </c>
      <c r="G916" s="841"/>
      <c r="H916" s="842"/>
      <c r="I916" s="843"/>
      <c r="J916" s="843"/>
    </row>
    <row r="917" spans="1:10" s="174" customFormat="1" ht="18.75" customHeight="1" hidden="1">
      <c r="A917" s="844"/>
      <c r="B917" s="844"/>
      <c r="C917" s="845" t="s">
        <v>1293</v>
      </c>
      <c r="D917" s="846">
        <v>249647820.1</v>
      </c>
      <c r="E917" s="846">
        <v>107299392.18</v>
      </c>
      <c r="F917" s="847"/>
      <c r="G917" s="848"/>
      <c r="H917" s="849"/>
      <c r="I917" s="849"/>
      <c r="J917" s="849"/>
    </row>
    <row r="918" spans="1:10" s="174" customFormat="1" ht="18.75" customHeight="1" hidden="1">
      <c r="A918" s="844"/>
      <c r="B918" s="844"/>
      <c r="C918" s="845" t="s">
        <v>1323</v>
      </c>
      <c r="D918" s="846">
        <f>D916-D917</f>
        <v>0</v>
      </c>
      <c r="E918" s="846">
        <f>E916-E917</f>
        <v>0</v>
      </c>
      <c r="F918" s="847"/>
      <c r="G918" s="848"/>
      <c r="H918" s="849"/>
      <c r="I918" s="849"/>
      <c r="J918" s="849"/>
    </row>
  </sheetData>
  <sheetProtection password="CF53" sheet="1" formatRows="0" insertColumns="0" insertRows="0" insertHyperlinks="0" deleteColumns="0" deleteRows="0" sort="0" autoFilter="0" pivotTables="0"/>
  <mergeCells count="4">
    <mergeCell ref="A564:C564"/>
    <mergeCell ref="A3:E3"/>
    <mergeCell ref="E1:F1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mkondratenko</cp:lastModifiedBy>
  <cp:lastPrinted>2013-08-27T12:43:14Z</cp:lastPrinted>
  <dcterms:created xsi:type="dcterms:W3CDTF">2002-07-29T09:23:44Z</dcterms:created>
  <dcterms:modified xsi:type="dcterms:W3CDTF">2013-08-30T11:04:58Z</dcterms:modified>
  <cp:category/>
  <cp:version/>
  <cp:contentType/>
  <cp:contentStatus/>
</cp:coreProperties>
</file>