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420" tabRatio="903" activeTab="0"/>
  </bookViews>
  <sheets>
    <sheet name="1Zmiany D i W" sheetId="1" r:id="rId1"/>
    <sheet name="2Zmiany P i R" sheetId="2" r:id="rId2"/>
    <sheet name="3Wysokość i przezn. nadwyżki" sheetId="3" r:id="rId3"/>
    <sheet name="4D i W wg działów" sheetId="4" r:id="rId4"/>
    <sheet name="5PiR" sheetId="5" r:id="rId5"/>
    <sheet name="6DOCHODY" sheetId="6" r:id="rId6"/>
    <sheet name="7Dmajatkowe" sheetId="7" r:id="rId7"/>
    <sheet name="8D wg źródeł" sheetId="8" r:id="rId8"/>
    <sheet name="9W" sheetId="9" r:id="rId9"/>
    <sheet name="10W dotacje z budżetu miasta" sheetId="10" r:id="rId10"/>
    <sheet name="11D i W dot. z budż. państwa" sheetId="11" r:id="rId11"/>
    <sheet name="12DiW zlecone" sheetId="12" r:id="rId12"/>
    <sheet name="13DiW porozumienia" sheetId="13" r:id="rId13"/>
    <sheet name="14DiW porozumienia z jst" sheetId="14" r:id="rId14"/>
    <sheet name=" 15ProgramyUE" sheetId="15" r:id="rId15"/>
    <sheet name="16Inwestycje" sheetId="16" r:id="rId16"/>
    <sheet name="17D i W własne jednostek" sheetId="17" r:id="rId17"/>
    <sheet name="18niewygasy2016" sheetId="18" r:id="rId18"/>
    <sheet name="19ZGM" sheetId="19" r:id="rId19"/>
    <sheet name="20 Wyspiarz" sheetId="20" r:id="rId20"/>
    <sheet name="21MDK" sheetId="21" r:id="rId21"/>
    <sheet name="22Bibloteka" sheetId="22" r:id="rId22"/>
    <sheet name="23Muzeum" sheetId="23" r:id="rId23"/>
    <sheet name="24SP ZOZ ZP-O" sheetId="24" r:id="rId24"/>
  </sheets>
  <definedNames>
    <definedName name="_xlnm.Print_Area" localSheetId="14">' 15ProgramyUE'!$A$1:$H$73</definedName>
    <definedName name="_xlnm.Print_Area" localSheetId="9">'10W dotacje z budżetu miasta'!$A$1:$F$126</definedName>
    <definedName name="_xlnm.Print_Area" localSheetId="10">'11D i W dot. z budż. państwa'!$A$1:$I$87</definedName>
    <definedName name="_xlnm.Print_Area" localSheetId="11">'12DiW zlecone'!$A$1:$L$109</definedName>
    <definedName name="_xlnm.Print_Area" localSheetId="12">'13DiW porozumienia'!$A$1:$K$31</definedName>
    <definedName name="_xlnm.Print_Area" localSheetId="13">'14DiW porozumienia z jst'!$A$1:$K$17</definedName>
    <definedName name="_xlnm.Print_Area" localSheetId="15">'16Inwestycje'!$A$1:$F$68</definedName>
    <definedName name="_xlnm.Print_Area" localSheetId="16">'17D i W własne jednostek'!$A$1:$I$35</definedName>
    <definedName name="_xlnm.Print_Area" localSheetId="17">'18niewygasy2016'!$A$1:$G$37</definedName>
    <definedName name="_xlnm.Print_Area" localSheetId="18">'19ZGM'!$A$1:$F$57</definedName>
    <definedName name="_xlnm.Print_Area" localSheetId="0">'1Zmiany D i W'!$A$1:$F$36</definedName>
    <definedName name="_xlnm.Print_Area" localSheetId="19">'20 Wyspiarz'!$A$1:$F$58</definedName>
    <definedName name="_xlnm.Print_Area" localSheetId="20">'21MDK'!$A$1:$E$40</definedName>
    <definedName name="_xlnm.Print_Area" localSheetId="21">'22Bibloteka'!$A$1:$E$43</definedName>
    <definedName name="_xlnm.Print_Area" localSheetId="22">'23Muzeum'!$A$1:$E$45</definedName>
    <definedName name="_xlnm.Print_Area" localSheetId="23">'24SP ZOZ ZP-O'!$A$1:$E$57</definedName>
    <definedName name="_xlnm.Print_Area" localSheetId="1">'2Zmiany P i R'!$A$1:$F$14</definedName>
    <definedName name="_xlnm.Print_Area" localSheetId="2">'3Wysokość i przezn. nadwyżki'!$A$1:$H$49</definedName>
    <definedName name="_xlnm.Print_Area" localSheetId="3">'4D i W wg działów'!$A$1:$H$36</definedName>
    <definedName name="_xlnm.Print_Area" localSheetId="4">'5PiR'!$A$1:$F$19</definedName>
    <definedName name="_xlnm.Print_Area" localSheetId="5">'6DOCHODY'!$A$1:$G$856</definedName>
    <definedName name="_xlnm.Print_Area" localSheetId="6">'7Dmajatkowe'!$A$1:$G$173</definedName>
    <definedName name="_xlnm.Print_Area" localSheetId="7">'8D wg źródeł'!$A$1:$E$84</definedName>
    <definedName name="_xlnm.Print_Area" localSheetId="8">'9W'!$A$1:$F$1114</definedName>
    <definedName name="_xlnm.Print_Titles" localSheetId="14">' 15ProgramyUE'!$4:$5</definedName>
    <definedName name="_xlnm.Print_Titles" localSheetId="9">'10W dotacje z budżetu miasta'!$6:$7</definedName>
    <definedName name="_xlnm.Print_Titles" localSheetId="10">'11D i W dot. z budż. państwa'!$4:$6</definedName>
    <definedName name="_xlnm.Print_Titles" localSheetId="11">'12DiW zlecone'!$5:$9</definedName>
    <definedName name="_xlnm.Print_Titles" localSheetId="12">'13DiW porozumienia'!$5:$9</definedName>
    <definedName name="_xlnm.Print_Titles" localSheetId="13">'14DiW porozumienia z jst'!$5:$9</definedName>
    <definedName name="_xlnm.Print_Titles" localSheetId="16">'17D i W własne jednostek'!$5:$7</definedName>
    <definedName name="_xlnm.Print_Titles" localSheetId="17">'18niewygasy2016'!$5:$6</definedName>
    <definedName name="_xlnm.Print_Titles" localSheetId="18">'19ZGM'!$6:$7</definedName>
    <definedName name="_xlnm.Print_Titles" localSheetId="0">'1Zmiany D i W'!$5:$7</definedName>
    <definedName name="_xlnm.Print_Titles" localSheetId="19">'20 Wyspiarz'!$6:$7</definedName>
    <definedName name="_xlnm.Print_Titles" localSheetId="23">'24SP ZOZ ZP-O'!$6:$7</definedName>
    <definedName name="_xlnm.Print_Titles" localSheetId="2">'3Wysokość i przezn. nadwyżki'!$6:$8</definedName>
    <definedName name="_xlnm.Print_Titles" localSheetId="3">'4D i W wg działów'!$5:$7</definedName>
    <definedName name="_xlnm.Print_Titles" localSheetId="5">'6DOCHODY'!$5:$6</definedName>
    <definedName name="_xlnm.Print_Titles" localSheetId="6">'7Dmajatkowe'!$5:$6</definedName>
    <definedName name="_xlnm.Print_Titles" localSheetId="7">'8D wg źródeł'!$5:$6</definedName>
    <definedName name="_xlnm.Print_Titles" localSheetId="8">'9W'!$5:$6</definedName>
  </definedNames>
  <calcPr fullCalcOnLoad="1"/>
</workbook>
</file>

<file path=xl/sharedStrings.xml><?xml version="1.0" encoding="utf-8"?>
<sst xmlns="http://schemas.openxmlformats.org/spreadsheetml/2006/main" count="5841" uniqueCount="1601">
  <si>
    <t>Starostwa powiatowe</t>
  </si>
  <si>
    <t>75023</t>
  </si>
  <si>
    <t>75045</t>
  </si>
  <si>
    <t>75095</t>
  </si>
  <si>
    <t>URZĘDY NACZELNYCH ORGANÓW WŁADZY PAŃSTWOWEJ, KONTROLI I OCHRONY PRAWA ORAZ SĄDOWNICTWA</t>
  </si>
  <si>
    <t>754</t>
  </si>
  <si>
    <t>75411</t>
  </si>
  <si>
    <t>75414</t>
  </si>
  <si>
    <t>Obrona cywilna</t>
  </si>
  <si>
    <t>757</t>
  </si>
  <si>
    <t>758</t>
  </si>
  <si>
    <t>RÓŻNE ROZLICZENIA</t>
  </si>
  <si>
    <t>801</t>
  </si>
  <si>
    <t>OŚWIATA I WYCHOWANIE</t>
  </si>
  <si>
    <t>80101</t>
  </si>
  <si>
    <t>Szkoły podstawowe</t>
  </si>
  <si>
    <t>80110</t>
  </si>
  <si>
    <t>Gimnazja</t>
  </si>
  <si>
    <t>80120</t>
  </si>
  <si>
    <t>80130</t>
  </si>
  <si>
    <t>Szkoły zawodowe</t>
  </si>
  <si>
    <t>851</t>
  </si>
  <si>
    <t>OCHRONA ZDROWIA</t>
  </si>
  <si>
    <t>85154</t>
  </si>
  <si>
    <t>Przeciwdziałanie alkoholizmowi</t>
  </si>
  <si>
    <t>853</t>
  </si>
  <si>
    <t>85305</t>
  </si>
  <si>
    <t>Drogi publiczne w miastach na prawach powiatu (w rozdziale nie ujmuje się wydatków na drogi gminne)</t>
  </si>
  <si>
    <t>Poradnie psychologiczno-pedagogiczne, w tym poradnie specjalistyczne</t>
  </si>
  <si>
    <t>33.</t>
  </si>
  <si>
    <t>Dodatki mieszkaniowe</t>
  </si>
  <si>
    <t>Ośrodki pomocy społecznej</t>
  </si>
  <si>
    <t>Opłaty na rzecz budżetu państwa</t>
  </si>
  <si>
    <t>85321</t>
  </si>
  <si>
    <t>Usługi opiekuńcze i specjalistyczne usługi opiekuńcze</t>
  </si>
  <si>
    <t>854</t>
  </si>
  <si>
    <t>III. Dotacje celowe</t>
  </si>
  <si>
    <t xml:space="preserve">    - środki Funduszu Pracy</t>
  </si>
  <si>
    <t>EDUKACYJNA OPIEKA WYCHOWAWCZA</t>
  </si>
  <si>
    <t>85403</t>
  </si>
  <si>
    <t>85406</t>
  </si>
  <si>
    <t>OGÓŁEM DOCHODY (GMINA + POWIAT)</t>
  </si>
  <si>
    <t>sprawozdanie Rb 27</t>
  </si>
  <si>
    <t>różnica (Rb 27 - zestawienie)</t>
  </si>
  <si>
    <t>Dochody majątkowe</t>
  </si>
  <si>
    <t>Dochody bieżące</t>
  </si>
  <si>
    <t>środki z innych źródeł</t>
  </si>
  <si>
    <t>1.1</t>
  </si>
  <si>
    <t>1.2</t>
  </si>
  <si>
    <t>1.3</t>
  </si>
  <si>
    <t>2.1</t>
  </si>
  <si>
    <t>2.2</t>
  </si>
  <si>
    <t>- spłata kredytów i pożyczek</t>
  </si>
  <si>
    <t>2.3</t>
  </si>
  <si>
    <t>1.4</t>
  </si>
  <si>
    <t>obsługa długu publicznego</t>
  </si>
  <si>
    <t>wg Rb28S</t>
  </si>
  <si>
    <t>Wg rb27S</t>
  </si>
  <si>
    <t>tabela</t>
  </si>
  <si>
    <t>Tabela nr 3</t>
  </si>
  <si>
    <t>OGÓŁEM INWESTYCJE KOMUNALNE (WIM)</t>
  </si>
  <si>
    <t>Punkt Przedszkolny "Tygrysek"</t>
  </si>
  <si>
    <t>Amortyzacja</t>
  </si>
  <si>
    <t>Wynagrodzenia</t>
  </si>
  <si>
    <t xml:space="preserve">wynagrodzenia i pochodne </t>
  </si>
  <si>
    <t>OGÓŁEM:</t>
  </si>
  <si>
    <t>związane z realizacją zadań statutowych</t>
  </si>
  <si>
    <t>świadczenia na rzecz osób fizycznych</t>
  </si>
  <si>
    <t>1.5</t>
  </si>
  <si>
    <t>Wydatki związane z realizacją zadań statutowych</t>
  </si>
  <si>
    <t>Dotacje na zadania bieżące</t>
  </si>
  <si>
    <t>Świadczenia na rzecz osób fizycznych</t>
  </si>
  <si>
    <t>Wydatki na programy z udziałem środków unijnych</t>
  </si>
  <si>
    <t>Wydatki jednostek budżetowych</t>
  </si>
  <si>
    <t>Wydatki
ogółem
(5+11)</t>
  </si>
  <si>
    <t>MIEJSKI DOM KULTURY</t>
  </si>
  <si>
    <t>RÓŻNICA</t>
  </si>
  <si>
    <t xml:space="preserve">    - pozostałe opłaty wraz z rekompensatą utraconych dochodów</t>
  </si>
  <si>
    <t xml:space="preserve">OTRZYMANE DOTACJE Z BUDŻETU PAŃSTWA ORAZ ICH WYDATKOWANIE </t>
  </si>
  <si>
    <t>Pożyczki</t>
  </si>
  <si>
    <t>Sprawdzenie Rb 27S i Rb28S</t>
  </si>
  <si>
    <t>Sprawdzenie Rb 27S</t>
  </si>
  <si>
    <t>Społeczna Szkoła Podstawowa Społecznego Towarzystwa Szkoły Gimnazjalnej</t>
  </si>
  <si>
    <t>85407</t>
  </si>
  <si>
    <t>BEZPIECZEŃSTWO PUBLICZNE I OCHRONA PRZECIWPOŻAROWA</t>
  </si>
  <si>
    <t>85410</t>
  </si>
  <si>
    <t>85415</t>
  </si>
  <si>
    <t>Pomoc materialna dla uczniów</t>
  </si>
  <si>
    <t>85417</t>
  </si>
  <si>
    <t>900</t>
  </si>
  <si>
    <t>90003</t>
  </si>
  <si>
    <t>90015</t>
  </si>
  <si>
    <t>Oświetlenie ulic, placów i dróg</t>
  </si>
  <si>
    <t>90095</t>
  </si>
  <si>
    <t>Specjalne ośrodki szkolno-wychowawcze</t>
  </si>
  <si>
    <t>ŁĄCZNIE GMINA I POWIAT</t>
  </si>
  <si>
    <t>Wpływy z opłat za zezwolenia na sprzedaż napojów alkoholowych</t>
  </si>
  <si>
    <t xml:space="preserve">   - pozostałe wydatki</t>
  </si>
  <si>
    <t>Nadwyżka/ Deficyt (I -II)</t>
  </si>
  <si>
    <t>- wykup obligacji komunalnych</t>
  </si>
  <si>
    <t>Dotacje celowe otrzymane z gminy na zadania bieżące realizowane na podstawie porozumień (umów) między jednostkami samorządu terytorialnego</t>
  </si>
  <si>
    <t xml:space="preserve">Środki na dofinansowanie własnych zadań 
bieżących gmin (związków gmin), powiatów (związków powiatów), samorządów województw, pozyskane z innych źródeł
</t>
  </si>
  <si>
    <t>6430</t>
  </si>
  <si>
    <t xml:space="preserve">KULTURA FIZYCZNA </t>
  </si>
  <si>
    <t>Kultura fizyczna</t>
  </si>
  <si>
    <t>Dotacja celowa otrzymana z tytułu pomocy finansowej udzielanej między jednostkami samorządu terytorialnego na dofinansowanie własnych zadań bieżących</t>
  </si>
  <si>
    <t>KULTURA FIZYCZNA</t>
  </si>
  <si>
    <t>Zadania w zakresie kultury fizycznej</t>
  </si>
  <si>
    <t>Płatności w zakresie budżetu środków europejskich</t>
  </si>
  <si>
    <t>Straż gminna (miejska)</t>
  </si>
  <si>
    <t>Dotacje celowe otrzymane z budżetu państwa na realizację inwestycji i zakupów inwestycyjnych własnych powiatu</t>
  </si>
  <si>
    <t>Klasyfikacja
§</t>
  </si>
  <si>
    <t>§ 992</t>
  </si>
  <si>
    <t>§ 982</t>
  </si>
  <si>
    <t xml:space="preserve">    - wpływy za realizację dochodów skarbu państwa</t>
  </si>
  <si>
    <t>921</t>
  </si>
  <si>
    <t>926</t>
  </si>
  <si>
    <t>udział</t>
  </si>
  <si>
    <t xml:space="preserve">Udział </t>
  </si>
  <si>
    <t>92601</t>
  </si>
  <si>
    <t>Obiekty sportowe</t>
  </si>
  <si>
    <t>92605</t>
  </si>
  <si>
    <t>Dział</t>
  </si>
  <si>
    <t>Wyszczególnienie</t>
  </si>
  <si>
    <t>Miejski Dom Kultury</t>
  </si>
  <si>
    <t>zad własne</t>
  </si>
  <si>
    <t>Zadania w zakresie oświaty i wychowania</t>
  </si>
  <si>
    <t>§</t>
  </si>
  <si>
    <t>LEŚNICTWO</t>
  </si>
  <si>
    <t>- kredyty i pożyczki</t>
  </si>
  <si>
    <t>Prywatne Uzupełniające Liceum Ogólnokształcące dla Dorosłych "Twoja Szkoła"</t>
  </si>
  <si>
    <t>Przelewy redystrybucyjne</t>
  </si>
  <si>
    <t>§296</t>
  </si>
  <si>
    <t>§300</t>
  </si>
  <si>
    <t>§285</t>
  </si>
  <si>
    <t>inne dochody</t>
  </si>
  <si>
    <t xml:space="preserve">                                             </t>
  </si>
  <si>
    <t>5. Odsetki</t>
  </si>
  <si>
    <t xml:space="preserve">    - od środków finansowych zgromadzonych na rachunkach  bankowych</t>
  </si>
  <si>
    <t xml:space="preserve">6. Inne dochody </t>
  </si>
  <si>
    <t>Kary i odszkodowania wypłacane na rzecz osób prawnych i innych jednostek organizacyjnych</t>
  </si>
  <si>
    <t>Inne dochody</t>
  </si>
  <si>
    <t>Miejskie imprezy kulturalne</t>
  </si>
  <si>
    <t>Sprzedaż biletów i wydawnictw</t>
  </si>
  <si>
    <t>Niedobór do rozliczenia</t>
  </si>
  <si>
    <t xml:space="preserve">Podróże służbowe </t>
  </si>
  <si>
    <t>Świadczenia na rzecz pracowników</t>
  </si>
  <si>
    <t>Jednostka realizująca projekt</t>
  </si>
  <si>
    <t>Urząd Miasta
 (WIM)</t>
  </si>
  <si>
    <t>- w tym wydatki na rzecz jednostek pomocniczych</t>
  </si>
  <si>
    <t xml:space="preserve">Tabela nr 12 </t>
  </si>
  <si>
    <t>Tabela nr 14</t>
  </si>
  <si>
    <t>Tabela 19</t>
  </si>
  <si>
    <t>środki unijne</t>
  </si>
  <si>
    <t>wkład krajowy (własny)</t>
  </si>
  <si>
    <t>Tabela nr 15</t>
  </si>
  <si>
    <t>x</t>
  </si>
  <si>
    <t>Wpływy do budżetu nadwyżki środków obrotowych samorządowego zakładu budżetowego</t>
  </si>
  <si>
    <t>- spłata udzielonych pożyczek</t>
  </si>
  <si>
    <t>pozostałe dotacje (w tym rozwojowe)</t>
  </si>
  <si>
    <t>VI.</t>
  </si>
  <si>
    <t>RAZEM III+IV+V+VI</t>
  </si>
  <si>
    <t>Składki na ubezpieczenie społeczne i Fundusz Pracy</t>
  </si>
  <si>
    <t>Wpływy z wpłat gmin i powiatów na rzecz innych jednostek samorządu terytorialnego oraz związków gmin lub związków powiatów na dofinansowanie zadań bieżących</t>
  </si>
  <si>
    <t>85206</t>
  </si>
  <si>
    <t>Wspieranie rodziny</t>
  </si>
  <si>
    <t>Środki na uzupełnienie dochodów gmin</t>
  </si>
  <si>
    <t>Dotacje celowe otrzymane z budżetu państwa na 
zadania bieżące realizowane przez powiat na podstawie porozumień z organami administracji rzadowej</t>
  </si>
  <si>
    <t>Środki na dofinansowanie własnych zadań 
bieżących gmin (związków gmin), powiatów (związków powiatów), samorządów województw, pozyskane z innych źródeł
Finansowanie programów ze środków bezzwrotnych pochodzących z Unii Europejskiej</t>
  </si>
  <si>
    <t>/w zł/</t>
  </si>
  <si>
    <t>Rozdział</t>
  </si>
  <si>
    <t>Treść</t>
  </si>
  <si>
    <t>Plan</t>
  </si>
  <si>
    <t>Wykonanie</t>
  </si>
  <si>
    <t>%</t>
  </si>
  <si>
    <t>010</t>
  </si>
  <si>
    <t>Pozostała działalność</t>
  </si>
  <si>
    <t>020</t>
  </si>
  <si>
    <t>02095</t>
  </si>
  <si>
    <t>500</t>
  </si>
  <si>
    <t>- zakup i objęcie akcji lub udziałów oraz wniesienie wkładów do spółek prawa handlowego</t>
  </si>
  <si>
    <t>wg Rb (majątkowe bez §)</t>
  </si>
  <si>
    <t>wg tabeli gmina łącznie</t>
  </si>
  <si>
    <t>wg tabeli powiat łącznie</t>
  </si>
  <si>
    <t>Różnica gmina</t>
  </si>
  <si>
    <t>Różnica powiat</t>
  </si>
  <si>
    <t>zwrot dotacji</t>
  </si>
  <si>
    <t>wg REKORDU powiat łącznie</t>
  </si>
  <si>
    <t>Placówki opiekuńczo-wychowawcze</t>
  </si>
  <si>
    <t>nie może być ujemna!</t>
  </si>
  <si>
    <t>2690</t>
  </si>
  <si>
    <t xml:space="preserve">    - uzdrowiskowa</t>
  </si>
  <si>
    <t>Urzędy naczelnych organów władzy państwowej, kontroli i ochrony prawa oraz sądownictwa</t>
  </si>
  <si>
    <t>Rb 28S</t>
  </si>
  <si>
    <t>Miejska Biblioteka Publiczna</t>
  </si>
  <si>
    <t>Muzeum Rybołówstwa Morskiego</t>
  </si>
  <si>
    <t>Rozchody</t>
  </si>
  <si>
    <t>Źródła dochodów</t>
  </si>
  <si>
    <t>2. Opłaty</t>
  </si>
  <si>
    <t>Pozostałe zadania w zakresie polityki społecznej</t>
  </si>
  <si>
    <t>Dochody od osób prawnych, od osób fizycznych i od innych jednostek nieposiadających osobowości prawnej oraz wydatki związane z ich poborem</t>
  </si>
  <si>
    <t>Wytwarzanie i zaopatrywanie w energię elektryczną, gaz i wodę</t>
  </si>
  <si>
    <t>II. Subwencje</t>
  </si>
  <si>
    <t xml:space="preserve">    - od nieruchomości </t>
  </si>
  <si>
    <t xml:space="preserve">    - rolny</t>
  </si>
  <si>
    <t xml:space="preserve">    - leśny</t>
  </si>
  <si>
    <t xml:space="preserve">    - od środków transportowych</t>
  </si>
  <si>
    <t xml:space="preserve">    - od spadków i darowizn</t>
  </si>
  <si>
    <t xml:space="preserve">    - od czynności cywilnoprawnych</t>
  </si>
  <si>
    <t xml:space="preserve">    - skarbowa</t>
  </si>
  <si>
    <t xml:space="preserve">    - komunikacyjna</t>
  </si>
  <si>
    <t>Tabela nr 7</t>
  </si>
  <si>
    <t xml:space="preserve">Przychody </t>
  </si>
  <si>
    <t xml:space="preserve">Rozchody </t>
  </si>
  <si>
    <t>Nadzór budowlany</t>
  </si>
  <si>
    <t>71035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</si>
  <si>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</si>
  <si>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</si>
  <si>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</si>
  <si>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</si>
  <si>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</si>
  <si>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</si>
  <si>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71014</t>
  </si>
  <si>
    <t>Opracowania geodezyjne i kartograficzne</t>
  </si>
  <si>
    <t>71015</t>
  </si>
  <si>
    <t>PRZYCHODY I ROZCHODY</t>
  </si>
  <si>
    <t>zlecone P</t>
  </si>
  <si>
    <t>porozumienia G</t>
  </si>
  <si>
    <t>zlecone  i własne G</t>
  </si>
  <si>
    <t>porozumienia i własne G</t>
  </si>
  <si>
    <t>Gospodarka komunalna i ochrona środowiska</t>
  </si>
  <si>
    <t>Kultura i ochrona dziedzictwa narodowego</t>
  </si>
  <si>
    <t>Nazwa działu</t>
  </si>
  <si>
    <t>Dochody</t>
  </si>
  <si>
    <t>Rolnictwo i łowiectwo</t>
  </si>
  <si>
    <t>Leśnictwo</t>
  </si>
  <si>
    <t>Handel</t>
  </si>
  <si>
    <t xml:space="preserve">Turystyka </t>
  </si>
  <si>
    <t>Gospodarka mieszkaniowa</t>
  </si>
  <si>
    <t>Działalność usługowa</t>
  </si>
  <si>
    <t>Administracja publiczna</t>
  </si>
  <si>
    <t>Bezpieczeństwo publiczne i ochrona przeciwpożarowa</t>
  </si>
  <si>
    <t>756</t>
  </si>
  <si>
    <t>Obsługa długu publicznego</t>
  </si>
  <si>
    <t>Różne rozliczenia</t>
  </si>
  <si>
    <t>Edukacyjna opieka wychowawcza</t>
  </si>
  <si>
    <t>Ogółem dochody i wydatki</t>
  </si>
  <si>
    <t>Ośrodki wparcia</t>
  </si>
  <si>
    <t>550</t>
  </si>
  <si>
    <t>Hotele i restauracje</t>
  </si>
  <si>
    <t>WYDATKI NA PROJEKTY REALIZOWANE Z UDZIAŁEM ŚRODKÓW UNII EUROPEJSKIEJ
(KOSZTY KWALIFIKOWANE)</t>
  </si>
  <si>
    <t>- inwestycje i zakupy inwestycyjne (w tym dotacje)</t>
  </si>
  <si>
    <t>plan wg rb</t>
  </si>
  <si>
    <t>2400</t>
  </si>
  <si>
    <t>75056</t>
  </si>
  <si>
    <t>Spis powszechny i inne</t>
  </si>
  <si>
    <t>75109</t>
  </si>
  <si>
    <t>Wybory do rad gmin, rad powiatów i sejmików województw, wybory wójtów, burmistrzów i prezydentów miast oraz referenda gminne, powiatowe i wojewódzkie</t>
  </si>
  <si>
    <t>Kwota wydatków</t>
  </si>
  <si>
    <t>% wykona-
nia</t>
  </si>
  <si>
    <t xml:space="preserve"> rozchody wg sprawozdania Rb</t>
  </si>
  <si>
    <t>- udzielone pożyczki</t>
  </si>
  <si>
    <t>% wyk.</t>
  </si>
  <si>
    <t>600</t>
  </si>
  <si>
    <t>TRANSPORT I ŁĄCZNOŚĆ</t>
  </si>
  <si>
    <t>60015</t>
  </si>
  <si>
    <t>60016</t>
  </si>
  <si>
    <t>Drogi publiczne gminne</t>
  </si>
  <si>
    <t>630</t>
  </si>
  <si>
    <t>TURYSTYKA</t>
  </si>
  <si>
    <t>700</t>
  </si>
  <si>
    <t>Współfinansowanie programów i projektów realizowanych ze środków z funduszy strukturalnych, Funduszu Spójności, Europejskiego Funduszu Rybackiego oraz z funduszy unijnych finansujących Wspólną Politykę Rolną</t>
  </si>
  <si>
    <t>Środki na utrzymanie rzecznych przepraw promowych oraz na remonty, utrzymanie, ochronę i zarządzanie drogami krajowymi i wojewódzkimi w granicach miast na prawach powiatu</t>
  </si>
  <si>
    <t>85404</t>
  </si>
  <si>
    <t>Wczesne wspomaganie rozwoju dziecka</t>
  </si>
  <si>
    <t>ZMIANY DOKONANE W DOCHODACH I WYDATKACH</t>
  </si>
  <si>
    <t>WYTWARZANIE I ZAOPATRYWANIE W ENERGIĘ ELEKTRYCZNĄ, GAZ I WODĘ</t>
  </si>
  <si>
    <t>Licea ogólnokształcące</t>
  </si>
  <si>
    <t>§ 963</t>
  </si>
  <si>
    <t>Spłaty pożyczek otrzymanych na finansowanie zadań realizowanych z udziałem środków pochodzących z budżetu Unii Europejskiej</t>
  </si>
  <si>
    <t>3. Udziały w podatkach stanowiących dochód budżetu 
    państwa</t>
  </si>
  <si>
    <t>7.</t>
  </si>
  <si>
    <t>8.</t>
  </si>
  <si>
    <t>11.</t>
  </si>
  <si>
    <t>14.</t>
  </si>
  <si>
    <t>Źródła pokrycia (1-2)</t>
  </si>
  <si>
    <t>Odsetki od nieterminowych wpłat z tytułu podatków i opłat</t>
  </si>
  <si>
    <t>DOCHODY</t>
  </si>
  <si>
    <t>WYDATKI</t>
  </si>
  <si>
    <t>PRZYCHODY</t>
  </si>
  <si>
    <t>ROZCHODY</t>
  </si>
  <si>
    <t>Wpływy z opłaty uzdrowiskowej, pobieranej w gminach posiadających status gminy uzdrowiskowej</t>
  </si>
  <si>
    <t>Udziały powiatów w podatkach stanowiących dochód budżetu państwa</t>
  </si>
  <si>
    <t>01005</t>
  </si>
  <si>
    <t>2110</t>
  </si>
  <si>
    <t>Prace geodezyjno-urządzeniowe na potrzeby rolnictwa</t>
  </si>
  <si>
    <t>6207</t>
  </si>
  <si>
    <t>6209</t>
  </si>
  <si>
    <t>Dotacje celowe w ramach programów finansowanych z udziałem środków europejskich oraz środków, o których mowa w art. 5 ust. 1 pkt 3 oraz ust.3 pkt 5 i 6 ustawy, lub płatności w ramach budżetu środków europejskich</t>
  </si>
  <si>
    <t>6297</t>
  </si>
  <si>
    <t>0960</t>
  </si>
  <si>
    <t>Otrzymane spadki, zapisy i darowizny w postaci pieniężnej</t>
  </si>
  <si>
    <t>Wpływ do budżetu pozostałości środków finansowych gromadzonych na wydzielonym rachunku jednostki budżetowej</t>
  </si>
  <si>
    <t xml:space="preserve">    - wpływy z innych dochodów</t>
  </si>
  <si>
    <t>0840</t>
  </si>
  <si>
    <t>Komendy powiatowe Państwowej Straż Pożarnej</t>
  </si>
  <si>
    <t>Przedszkole Niepubliczne "Motylek"</t>
  </si>
  <si>
    <t>Aktywne Przedszkole "Kogut"</t>
  </si>
  <si>
    <t xml:space="preserve">Policealna Szkoła Centrum Nauki i Biznesu "Żak" </t>
  </si>
  <si>
    <t>Zakupy inwestycyjne dla Państwowej Straży Pożarnej</t>
  </si>
  <si>
    <t>6208</t>
  </si>
  <si>
    <t>- najem i dzierżawa składników majątkowych</t>
  </si>
  <si>
    <t>- osobowe pracowników</t>
  </si>
  <si>
    <t>- na inwestycje</t>
  </si>
  <si>
    <t>Dotacje celowe otrzymane z budżetu państwa na realizację zadań bieżących z zakresu administracji rządowej oraz innych zadań zleconych gminie (związkom gmin) ustawami</t>
  </si>
  <si>
    <t>Urzędy gmin (miast i miast na prawach powiatu)</t>
  </si>
  <si>
    <t>Wpływy z opłat za koncesje i licencje</t>
  </si>
  <si>
    <t>Komendy powiatowe Państwowej Straży Pożarnej</t>
  </si>
  <si>
    <t xml:space="preserve">Subwencje ogólne z budżetu państwa </t>
  </si>
  <si>
    <t>Ośrodki wsparcia</t>
  </si>
  <si>
    <t>Dotacje celowe otrzymane z budżetu państwa na realizację własnych zadań bieżących gmin (związków gmin)</t>
  </si>
  <si>
    <t>Wpływy z opłaty eksploatacyjnej</t>
  </si>
  <si>
    <t>Wpływy z innych opłat stanowiących dochody jednostek samorządu terytorialnego na podstawie ustaw</t>
  </si>
  <si>
    <t xml:space="preserve">                        Budżet  (zł)</t>
  </si>
  <si>
    <t>Zespoły do spraw orzekania o niepełnosprawności</t>
  </si>
  <si>
    <t>Oczyszczanie miast i wsi</t>
  </si>
  <si>
    <t>Wpływy do budżetu części zysku gospodarstwa pomocniczego</t>
  </si>
  <si>
    <t>Dotacje celowe otrzymane z budżetu państwa na zadania bieżące realizowane przez gminę na podstawie porozumień z organami administracji rządowej</t>
  </si>
  <si>
    <t>63003</t>
  </si>
  <si>
    <t>Zadania w zakresie upowszechniania turystyki</t>
  </si>
  <si>
    <t>75416</t>
  </si>
  <si>
    <t>400</t>
  </si>
  <si>
    <t>MIEJSKA BIBLIOTEKA PUBLICZNA</t>
  </si>
  <si>
    <t>pozostałe, w tym: środki na inwestycje</t>
  </si>
  <si>
    <t>wpisać ręcznie</t>
  </si>
  <si>
    <t>własne G</t>
  </si>
  <si>
    <t>zlecone G</t>
  </si>
  <si>
    <t>zlecone G i P</t>
  </si>
  <si>
    <t>zlecone i porozumienia P</t>
  </si>
  <si>
    <t>DOTACJE BIEŻĄCE</t>
  </si>
  <si>
    <t>30.</t>
  </si>
  <si>
    <t>31.</t>
  </si>
  <si>
    <t>4.10</t>
  </si>
  <si>
    <t>Inne jednostki</t>
  </si>
  <si>
    <t>§657</t>
  </si>
  <si>
    <t>wg Rb (bieżące bez §291)</t>
  </si>
  <si>
    <t>6298</t>
  </si>
  <si>
    <t xml:space="preserve">Drogi publiczne krajowe </t>
  </si>
  <si>
    <t>Społeczne Liceum Ogólnokształcące Społecznego Towarzystwa Szkoły Gimnazjalnej</t>
  </si>
  <si>
    <t>I Liceum Społeczne Fundacji LOGOS</t>
  </si>
  <si>
    <t>Dotacje celowe otrzymane z budżetu państwa na inwestycje i zakupy inwestycyjne z zakresu administracji rządowej oraz inne zadania zlecone ustawami realizowane przez powiat</t>
  </si>
  <si>
    <t>1</t>
  </si>
  <si>
    <t xml:space="preserve">Wydatki majątkowe </t>
  </si>
  <si>
    <t>Otrzymane dotacje</t>
  </si>
  <si>
    <t>Poniesione wydatki</t>
  </si>
  <si>
    <t>Grzywny i inne kary pieniężne od osób prawnych i innych jednostek organizacyjnych</t>
  </si>
  <si>
    <t>0580</t>
  </si>
  <si>
    <t>Grzywny, mandaty i inne kary pieniężne od osób fizycznych</t>
  </si>
  <si>
    <t>0390</t>
  </si>
  <si>
    <t xml:space="preserve">Wpływy ze zwrotów dotacji oraz płatności, w tym wykorzystanych niezgodnie z przeznaczeniem lub wykorzystanych z naruszeniem procedur, o których mowa w art. 184 ustawy, pobranych nienależnie lub w nadmiernej wysokości </t>
  </si>
  <si>
    <t>Pozostałe podatki na rzecz budżetów jednostek samorządu terytorialnego</t>
  </si>
  <si>
    <t xml:space="preserve">    - targowa</t>
  </si>
  <si>
    <t>752</t>
  </si>
  <si>
    <t>75212</t>
  </si>
  <si>
    <t>Pozostałe wydatki obronne</t>
  </si>
  <si>
    <t>OBRONA NARODOWA</t>
  </si>
  <si>
    <t>75415</t>
  </si>
  <si>
    <t>Wpływy z podatku rolnego, podatku leśnego, podatku od czynności cywilnoprawnych, podatków i opłat lokalnych od osób prawnych i innych jednostek organizacyjnych</t>
  </si>
  <si>
    <t>Zasiłki i pomoc w naturze oraz składki na ubezpieczenia emerytalne i rentowe</t>
  </si>
  <si>
    <t>Zasiłki i pomoc w naturze  oraz składki na ubezpieczenia emerytalne i rentowe</t>
  </si>
  <si>
    <t>DOCHODY OD OSÓB PRAWNYCH, OD OSÓB FIZYCZNYCH I OD INNYCH JEDNOSTEK NIEPOSIADAJĄCYCH  OSOBOWOŚCI PRAWNEJ ORAZ WYDATKI ZWIĄZANE Z ICH POBOREM</t>
  </si>
  <si>
    <t>POZOSTAŁE ZADANIA W ZAKRESIE 
POLITYKI SPOŁECZNEJ</t>
  </si>
  <si>
    <t xml:space="preserve">  a)  z budżetu państwa na zadania własne (w tym dotacja uzdrowiskowa)</t>
  </si>
  <si>
    <t xml:space="preserve">  b) z budżetu państwa na zadania z zakresu administracji rządowej</t>
  </si>
  <si>
    <t xml:space="preserve">  c) z budżetu państwa na zadania realizowane na podstawie porozumień z organami administracji rządowej</t>
  </si>
  <si>
    <t>wyposażenie</t>
  </si>
  <si>
    <t>Poradnie psychologiczno - pedagogiczne, w tym poradnie specjalistyczne</t>
  </si>
  <si>
    <t>Placówki wychowania pozaszkolnego</t>
  </si>
  <si>
    <t>Internaty i bursy szkolne</t>
  </si>
  <si>
    <t>Szkolne schroniska młodzieżowe</t>
  </si>
  <si>
    <t>85419</t>
  </si>
  <si>
    <t>85446</t>
  </si>
  <si>
    <t>85495</t>
  </si>
  <si>
    <t>2680</t>
  </si>
  <si>
    <t>Rekompensaty utraconych dochodów w podatkach i opłatach lokalnych</t>
  </si>
  <si>
    <t>6260</t>
  </si>
  <si>
    <t>6300</t>
  </si>
  <si>
    <t>92695</t>
  </si>
  <si>
    <t>2710</t>
  </si>
  <si>
    <t>Dotacje otrzymane z funduszy celowych na finansowanie lub dofinansowanie kosztów realizacji inwestycji i zakupów inwestycyjnych jednostek sektora finansów publicznych</t>
  </si>
  <si>
    <t>ENERGIA</t>
  </si>
  <si>
    <t>energia elektryczna</t>
  </si>
  <si>
    <t>woda, ścieki</t>
  </si>
  <si>
    <t>USŁUGI OBCE</t>
  </si>
  <si>
    <t>wywóz śmieci</t>
  </si>
  <si>
    <t>usługi pralnicze</t>
  </si>
  <si>
    <t>usługi dezynfekcyjne</t>
  </si>
  <si>
    <t>powiat bieżące i majątkowe z wydruku Rekord</t>
  </si>
  <si>
    <t>różnica gmina</t>
  </si>
  <si>
    <t>różnica powiat</t>
  </si>
  <si>
    <t>0340</t>
  </si>
  <si>
    <t>0500</t>
  </si>
  <si>
    <t>0360</t>
  </si>
  <si>
    <t>2007</t>
  </si>
  <si>
    <t>Finansowanie programów i projektów ze środków funduszy strukturalnych, Funduszu Spójności, Europejskiego Funduszu Rybackiego oraz z funduszy unijnych finansujących Wspólną Politykę Rolną z wyłączeniem budżetu środków europejskich</t>
  </si>
  <si>
    <t>75107</t>
  </si>
  <si>
    <t>0370</t>
  </si>
  <si>
    <t>2870</t>
  </si>
  <si>
    <t>Dotacja z budżetu państwa dla gmin uzdrowiskowych</t>
  </si>
  <si>
    <t>0900</t>
  </si>
  <si>
    <t>Odsetki od dotacji oraz płatności: wykorzystanych niezgodnie z przeznaczeniem lub wykorzystanych z naruszeniem procedur, o których mowa w art. 184 ustawy, pobranych nienależnie lub w nadmiernej wysokości</t>
  </si>
  <si>
    <t>0980</t>
  </si>
  <si>
    <t>Wpływy z tytułu zwrotów wypłaconych świadczeń z funduszu alimentacyjnego</t>
  </si>
  <si>
    <t>85216</t>
  </si>
  <si>
    <t>90011</t>
  </si>
  <si>
    <t>Fundusz Ochrony Środowiska i Gospodarki Wodnej</t>
  </si>
  <si>
    <t>85205</t>
  </si>
  <si>
    <t>2120</t>
  </si>
  <si>
    <t>§ 931</t>
  </si>
  <si>
    <t>Przychody ze sprzedaży innych papierów wartościowych</t>
  </si>
  <si>
    <t>2370</t>
  </si>
  <si>
    <t>Drogi publiczne w miastach na prawach powiatu 
(w rozdziale nie ujmuje się wydatków na drogi gminne)</t>
  </si>
  <si>
    <t>0430</t>
  </si>
  <si>
    <t>0410</t>
  </si>
  <si>
    <t>0420</t>
  </si>
  <si>
    <t>0460</t>
  </si>
  <si>
    <t>0480</t>
  </si>
  <si>
    <t>0590</t>
  </si>
  <si>
    <t>0010</t>
  </si>
  <si>
    <t>0020</t>
  </si>
  <si>
    <t>2920</t>
  </si>
  <si>
    <t>6330</t>
  </si>
  <si>
    <t>2130</t>
  </si>
  <si>
    <t>2020</t>
  </si>
  <si>
    <t>2030</t>
  </si>
  <si>
    <t>0400</t>
  </si>
  <si>
    <t>6290</t>
  </si>
  <si>
    <t>2360</t>
  </si>
  <si>
    <t>2790</t>
  </si>
  <si>
    <t>75832</t>
  </si>
  <si>
    <t>852</t>
  </si>
  <si>
    <t>85201</t>
  </si>
  <si>
    <t>85212</t>
  </si>
  <si>
    <t>85213</t>
  </si>
  <si>
    <t>85214</t>
  </si>
  <si>
    <t>85215</t>
  </si>
  <si>
    <t>85219</t>
  </si>
  <si>
    <t>Rozdział 92116</t>
  </si>
  <si>
    <t>85228</t>
  </si>
  <si>
    <t>2010</t>
  </si>
  <si>
    <t>85295</t>
  </si>
  <si>
    <t>POMOC SPOŁECZNA</t>
  </si>
  <si>
    <t>85203</t>
  </si>
  <si>
    <t>90002</t>
  </si>
  <si>
    <t>Gospodarka odpadami</t>
  </si>
  <si>
    <t>Część równoważąca subwencji ogólnej dla powiatów</t>
  </si>
  <si>
    <t>Pomoc społeczna</t>
  </si>
  <si>
    <t>Dochody jednostek samorządu terytorialnego związane z realizacją zadań  z zakresu administracji rządowej oraz innych zadań zleconych ustawami</t>
  </si>
  <si>
    <t>2</t>
  </si>
  <si>
    <t>Dochody z najmu i dzierżawy składników majątkowych Skarbu Państwa, jednostek samorządu terytorialnego lub innych jednostek zaliczanych do sektora finansów publicznych oraz innych umów o podobnym charakterze</t>
  </si>
  <si>
    <t>Data wprowadzenia</t>
  </si>
  <si>
    <t>zmniejszenia</t>
  </si>
  <si>
    <t>zwiększenia</t>
  </si>
  <si>
    <t>PLAN POCZĄTKOWY</t>
  </si>
  <si>
    <t>Ogółem zmiany</t>
  </si>
  <si>
    <t>PLAN KOŃCOWY</t>
  </si>
  <si>
    <t xml:space="preserve">  c) równoważąca</t>
  </si>
  <si>
    <t>80148</t>
  </si>
  <si>
    <t>- inwestycyjna</t>
  </si>
  <si>
    <t>Dotacje celowe otrzymane z budżetu państwa na realizację inwestycji i zakupów inwestycyjnych własnych gmin (związków gmin)</t>
  </si>
  <si>
    <t>Tabela nr 5</t>
  </si>
  <si>
    <t>75615</t>
  </si>
  <si>
    <t>Stan środków obrotowych netto na początek okresu sprawozdawczego</t>
  </si>
  <si>
    <t>Stan środków obrotowych netto na koniec okresu sprawozdawczego</t>
  </si>
  <si>
    <t>Wydatki
bieżące
(6+7+8+9+10)</t>
  </si>
  <si>
    <t>wg Rekordu</t>
  </si>
  <si>
    <t>tyle wpłynęło dotacji</t>
  </si>
  <si>
    <t>Dotacje celowe w ramach programów finansowanych z udziałem środków europejskich oraz środków, o których mowa w art. 5 ust. 1 pkt 3 oraz ust. 3 pkt 5 i 6 ustawy, lub płatności w ramach budżetu środków europejskich</t>
  </si>
  <si>
    <t>Zakup eksponatów muzealnych</t>
  </si>
  <si>
    <t>4.4</t>
  </si>
  <si>
    <t>4.5</t>
  </si>
  <si>
    <t>2a)</t>
  </si>
  <si>
    <t>Zespół Szkół Ogólnokształcących</t>
  </si>
  <si>
    <t>Centrum Edukacji Zawodowej i Turystyki</t>
  </si>
  <si>
    <t>Wydatki inwestycyjne samorządowych zakładów budżetowych</t>
  </si>
  <si>
    <t>4.6</t>
  </si>
  <si>
    <t>4.7</t>
  </si>
  <si>
    <t>4.8</t>
  </si>
  <si>
    <t>4.9</t>
  </si>
  <si>
    <t>5.1</t>
  </si>
  <si>
    <t>5.2</t>
  </si>
  <si>
    <t>Odsetki za nieterminowe rozliczenia, płacone przez urzędy obsługujące organy podatkowe</t>
  </si>
  <si>
    <t>Wykup innych papierów wartościowych</t>
  </si>
  <si>
    <t>Dotacje
ogółem</t>
  </si>
  <si>
    <t>Wydatki
majątkowe</t>
  </si>
  <si>
    <t>85220</t>
  </si>
  <si>
    <t>Jednostki specjalistycznego poradnictwa, mieszkania chronione i ośrodki interwencji kryzysowej</t>
  </si>
  <si>
    <t>gmina</t>
  </si>
  <si>
    <t>powiat</t>
  </si>
  <si>
    <t>Ogółem (gmina + powiat)</t>
  </si>
  <si>
    <t xml:space="preserve">Ogółem </t>
  </si>
  <si>
    <t>Uzupełnienie subwencji ogólnej dla jednostek samorządu terytorialnego</t>
  </si>
  <si>
    <t>2750</t>
  </si>
  <si>
    <t>Gimnazjum Fundacji LOGOS</t>
  </si>
  <si>
    <t>Zadania w zakresie pomocy społecznej</t>
  </si>
  <si>
    <t>Składki na ubezpieczenia społeczne i Fundusz Pracy</t>
  </si>
  <si>
    <t>Pozostałe przychody finansowe i operacyjne</t>
  </si>
  <si>
    <t>RAZEM DOTACJE Z BUDŻETU MIASTA</t>
  </si>
  <si>
    <t>Prowadzenie edukacji profilaktycznej z zakresu AIDS i HIV adresowanych do uczniów placówek oświatowych</t>
  </si>
  <si>
    <t>Niepubliczne Przedszkole Specjalne "Jeżyk"</t>
  </si>
  <si>
    <t>Niepubliczne Dwuletnie Uzupełniające Liceum Ogólnokształcące dla Dorosłych im. św. Jadwigi Królowej</t>
  </si>
  <si>
    <t>sprawozdanie Rb 27 doch majątkowe</t>
  </si>
  <si>
    <t>zakup i objęcie akcji lub udziałów oraz wniesienie wkładów do spółek prawa handlowego</t>
  </si>
  <si>
    <t>wydatki jednostek budżetowych
w tym:</t>
  </si>
  <si>
    <t>inwestycje i zakupy inwestycyjne
w tym:</t>
  </si>
  <si>
    <t>pozostałe zakupy inwestycyjne</t>
  </si>
  <si>
    <t xml:space="preserve">Programy polityki zdrowotnej </t>
  </si>
  <si>
    <t>85152</t>
  </si>
  <si>
    <t>Zapobieganie i zwalczanie AIDS</t>
  </si>
  <si>
    <t>85153</t>
  </si>
  <si>
    <t>Zwalczanie narkomanii</t>
  </si>
  <si>
    <t>85195</t>
  </si>
  <si>
    <t xml:space="preserve">POMOC SPOŁECZNA </t>
  </si>
  <si>
    <t>Placówki opiekuńczo - wychowawcze</t>
  </si>
  <si>
    <t>85202</t>
  </si>
  <si>
    <t>Domy pomocy społecznej</t>
  </si>
  <si>
    <t>85204</t>
  </si>
  <si>
    <t>Rodziny zastępcze</t>
  </si>
  <si>
    <t>85218</t>
  </si>
  <si>
    <t>Powiatowe centra pomocy rodzinie</t>
  </si>
  <si>
    <t>Program wspierania rodziny</t>
  </si>
  <si>
    <t>Dotacja celowa otrzymana z tytułu pomocy finansowej udzielanej między jednostkami samorządu tereytorialnego na dofinansowanie własnych zadań inwestycyjnych i zakupów inwestycyjnych</t>
  </si>
  <si>
    <t>- celowa</t>
  </si>
  <si>
    <t>92120</t>
  </si>
  <si>
    <t>Ochrona zabytków i opieka nad zabytkami</t>
  </si>
  <si>
    <t xml:space="preserve">    - podatki zniesione</t>
  </si>
  <si>
    <t>Gimnazjum dla Dorosłych Wojewódzkiego Zakładu Doskonalenia Zawodowego</t>
  </si>
  <si>
    <t>Przedszkole Miejskie nr 1</t>
  </si>
  <si>
    <t>Przedszkole Miejskie nr 3</t>
  </si>
  <si>
    <t>Przedszkole Miejskie nr 5</t>
  </si>
  <si>
    <t>Przedszkole Miejskie nr 9</t>
  </si>
  <si>
    <t>Przedszkole Miejskie nr 10</t>
  </si>
  <si>
    <t>Przedszkole Miejskie nr 11</t>
  </si>
  <si>
    <t>SP ZOZ Szpital Miejski im. Jana Garduły</t>
  </si>
  <si>
    <t>§ 950</t>
  </si>
  <si>
    <t>Wolne środki, o których mowa w art. 217 ust 2 pkt 6 ustawy</t>
  </si>
  <si>
    <t>Realizacja działań z zakresu zapobiegania  i przeciwdziałania narkomanii adresowane do mieszkańców Świnoujścia</t>
  </si>
  <si>
    <t>Zadania w zakresie zapobiegania i przeciwdziałania alkoholizmowi</t>
  </si>
  <si>
    <t>Opieka nad osobami chorymi onkologicznie i ich rodzinami</t>
  </si>
  <si>
    <t>Utrzymanie dzieci umieszczonych w placówkach opiekuńczo-wychowawczych</t>
  </si>
  <si>
    <t>plan</t>
  </si>
  <si>
    <t>Środki na dofinansowanie własnych inwestycji gmin (związków gmin), powiatów (związków powiatów), samorządów województw, pozyskane z innych źródeł</t>
  </si>
  <si>
    <t>Finansowanie programów i projektów ze środków funduszy strukturalnych, Funduszu Spójności, Europejskiego Funduszu Rybackiego oraz z funduszy unijnych finansujących Wspólną Politykę Rolną, z wyłączeniem budżetu środków europejskich</t>
  </si>
  <si>
    <t>Wpłaty z tytułu odpłatnego nabycia prawa własności oraz prawa użytkowania wieczystego nieruchomości</t>
  </si>
  <si>
    <t>Stan środków pieniężnych na początek okresu sprawozdawczego</t>
  </si>
  <si>
    <t>Stan środków pieniężnych na koniec okresu sprawozdawczego</t>
  </si>
  <si>
    <t>Specjalny Ośrodek Szkolno-Wychowawczy</t>
  </si>
  <si>
    <t>Poradnia Psychologiczno-Pedagogiczna</t>
  </si>
  <si>
    <t>Młodzieżowy Dom Kultury</t>
  </si>
  <si>
    <t xml:space="preserve">% </t>
  </si>
  <si>
    <t>I.</t>
  </si>
  <si>
    <t>II.</t>
  </si>
  <si>
    <t>Wpływy z usług</t>
  </si>
  <si>
    <t>2650</t>
  </si>
  <si>
    <t>pokrycie amortyzacji</t>
  </si>
  <si>
    <t>RAZEM I+II</t>
  </si>
  <si>
    <t>Wpływy ze zwrotów dotacji oraz płatności, w tym wykorzystanych niezgodnie z przeznaczeniem lub wykorzystanych z naruszeniem procedur, o których mowa w art. 184 ustawy, pobranych nienależnie lub w nadmiernej wysokości</t>
  </si>
  <si>
    <t>III.</t>
  </si>
  <si>
    <t>Koszty i inne obciążenia ogółem</t>
  </si>
  <si>
    <t>Wydatki osobowe niezaliczone do wynagrodzeń</t>
  </si>
  <si>
    <t>Wynagrodzenia osobowe pracowników</t>
  </si>
  <si>
    <t>Dodatkowe wynagrodzenie roczne</t>
  </si>
  <si>
    <t>OGÓŁEM</t>
  </si>
  <si>
    <t>PLAN</t>
  </si>
  <si>
    <t>WYKONANIE</t>
  </si>
  <si>
    <t>Gmina</t>
  </si>
  <si>
    <t>Powiat</t>
  </si>
  <si>
    <t>PODATKI I OPŁATY</t>
  </si>
  <si>
    <t>8.1</t>
  </si>
  <si>
    <t>podatek od nieruchomości</t>
  </si>
  <si>
    <t>8.2</t>
  </si>
  <si>
    <t>SPRZEDAŻ USŁUG</t>
  </si>
  <si>
    <t>PRZYCHODY FINANSOWE</t>
  </si>
  <si>
    <t>15.1</t>
  </si>
  <si>
    <t>15.2</t>
  </si>
  <si>
    <t>15.3</t>
  </si>
  <si>
    <t>KOSZTY FINANSOWE</t>
  </si>
  <si>
    <t>POZOSTAŁE KOSZTY OPERACYJNE</t>
  </si>
  <si>
    <t>PRZYCHODY OGÓŁEM</t>
  </si>
  <si>
    <t xml:space="preserve"> SAMODZIELNY PUBLICZNY ZAKŁAD OPIEKI ZDROWOTNEJ ZAKŁAD
 PIELĘGNACYJNO-OPIEKUŃCZY</t>
  </si>
  <si>
    <t>leki</t>
  </si>
  <si>
    <t>pieluchomajtki</t>
  </si>
  <si>
    <t xml:space="preserve">środki czystości </t>
  </si>
  <si>
    <t>pozostałe</t>
  </si>
  <si>
    <t>gaz</t>
  </si>
  <si>
    <t>analizy i badania</t>
  </si>
  <si>
    <t>usługi gastronomiczne (wyżywienie pacjentów)</t>
  </si>
  <si>
    <t>konserwacja i naprawa sprzętu, serwis kotłowni</t>
  </si>
  <si>
    <t>usługi lekarskie i porady</t>
  </si>
  <si>
    <t>usługi transportowe</t>
  </si>
  <si>
    <t>usługi pielęgniarskie</t>
  </si>
  <si>
    <t>pozostałe usługi obce, w tym medyczne</t>
  </si>
  <si>
    <t>usługi remontowe</t>
  </si>
  <si>
    <t>wynagrodzeni z tyt. umów o pracę</t>
  </si>
  <si>
    <t>umowy zlecenia</t>
  </si>
  <si>
    <t>pozostałe opłaty i podatki</t>
  </si>
  <si>
    <t>OPŁATY BANKOWE</t>
  </si>
  <si>
    <t>PODRÓŻE SŁUŻBOWE</t>
  </si>
  <si>
    <t>POZOSTAŁE KOSZTY PROSTE (ubezp. O.C.)</t>
  </si>
  <si>
    <t>kontrakt z NFZ</t>
  </si>
  <si>
    <t>dzierżawa, media, wypożyczenie sprzętu medycznego</t>
  </si>
  <si>
    <t>PRZYCHODY OPERACYJNE</t>
  </si>
  <si>
    <t>17.1</t>
  </si>
  <si>
    <t>dotacje - Urząd Miasta</t>
  </si>
  <si>
    <t>17.2</t>
  </si>
  <si>
    <t>Zadania ratownictwa górskiego i wodnego</t>
  </si>
  <si>
    <t>Koszty postępowania sądowego i prokuratorskiego</t>
  </si>
  <si>
    <t xml:space="preserve">    - od nieterminowego regulowania należności, stanowiących dochody Miasta i inne</t>
  </si>
  <si>
    <t>INWESTYCJE KOMUNALNE FINANSOWANE Z BUDŻETU MIASTA
(bez pozostałych wydatków majątkowych)</t>
  </si>
  <si>
    <t>Organizacja edukacji ekologicznej</t>
  </si>
  <si>
    <t>Samodzielny Publiczny Zakład Opieki Zdrowotnej Zakład Pielęgnacyjno-Opiekuńczy</t>
  </si>
  <si>
    <t xml:space="preserve">  d) wyrównawcza</t>
  </si>
  <si>
    <t xml:space="preserve">      - środki na utrzymanie przepraw promowych</t>
  </si>
  <si>
    <t xml:space="preserve">      - na inwestycje</t>
  </si>
  <si>
    <t>Tabela nr 6</t>
  </si>
  <si>
    <t xml:space="preserve">Tabela nr 13 </t>
  </si>
  <si>
    <t>Tabela nr 17</t>
  </si>
  <si>
    <t>75075</t>
  </si>
  <si>
    <t>DOCHODY I WYDATKI GROMADZONE NA WYDZIELONYCH RACHUNKACH JEDNOSTEK OŚWIATOWYCH</t>
  </si>
  <si>
    <t>Promocja jednostek samorządu terytorialnego</t>
  </si>
  <si>
    <t>0560</t>
  </si>
  <si>
    <t>6423</t>
  </si>
  <si>
    <t>6299</t>
  </si>
  <si>
    <t>RAZEM (GMINA+POWIAT)</t>
  </si>
  <si>
    <t>Szkoła Podstawowa nr 1</t>
  </si>
  <si>
    <t>Szkoła Podstawowa nr 2</t>
  </si>
  <si>
    <t>Szkoła Podstawowa nr 6</t>
  </si>
  <si>
    <t>%
wyk.</t>
  </si>
  <si>
    <t xml:space="preserve">    - produktowa</t>
  </si>
  <si>
    <t>Gimnazjum Publiczne nr 2</t>
  </si>
  <si>
    <t>Gimnazjum Publiczne nr 3</t>
  </si>
  <si>
    <t>Internat Zespołu Szkół Morskich</t>
  </si>
  <si>
    <t>inne zwiększenia</t>
  </si>
  <si>
    <t>Cmentarze</t>
  </si>
  <si>
    <t>750</t>
  </si>
  <si>
    <t>ADMINISTRACJA PUBLICZNA</t>
  </si>
  <si>
    <t>75011</t>
  </si>
  <si>
    <t>WYDATKI GMINY</t>
  </si>
  <si>
    <t>GMINA</t>
  </si>
  <si>
    <t>WYDATKI POWIATU</t>
  </si>
  <si>
    <t>Środki na dofinansowanie własnych inwestycji  gmin (związków gmin), powiatów (związków powiatów), samorządów województw, pozyskane z innych źródeł</t>
  </si>
  <si>
    <t>60011</t>
  </si>
  <si>
    <t>Urzędy wojewódzkie</t>
  </si>
  <si>
    <t>75020</t>
  </si>
  <si>
    <t>Wpływy ze sprzedaży wyrobów</t>
  </si>
  <si>
    <t>Dotacje otrzymane z państwowych funduszy celowych na finansowanie lub dofinansowanie kosztów realizacji inwestycji i zakupów inwestycyjnych jednostek sektora finansów publicznych</t>
  </si>
  <si>
    <t>71095</t>
  </si>
  <si>
    <t>6410</t>
  </si>
  <si>
    <t>plan wg Rb</t>
  </si>
  <si>
    <t xml:space="preserve"> przychody wg sprawozdania Rb</t>
  </si>
  <si>
    <t>wg wydruku</t>
  </si>
  <si>
    <t>wg wydruku wykonanie</t>
  </si>
  <si>
    <t>tyle wydaliśmy</t>
  </si>
  <si>
    <t>bo oznaczałoby to, że dotacja wpłynęła w niższej kwocie</t>
  </si>
  <si>
    <t>NIE MOŻE BYĆ MINUS</t>
  </si>
  <si>
    <t>MAJĄTKOWE TEŻ DZIELIMY</t>
  </si>
  <si>
    <t>Wpływy ze sprzedaży składników majątkowych</t>
  </si>
  <si>
    <t>0870</t>
  </si>
  <si>
    <t xml:space="preserve">    - grzywny, mandaty i inne kary pieniężne</t>
  </si>
  <si>
    <t>75616</t>
  </si>
  <si>
    <t>Wpływy z podatku rolnego, podatku leśnego, podatku od spadków i darowizn, podatku od czynności cywilnoprawnych oraz podatków i opłat lokalnych od osób fizycznych</t>
  </si>
  <si>
    <t>2320</t>
  </si>
  <si>
    <t>Dotacje celowe otrzymane z powiatu na zadania bieżące realizowane na podstawie porozumień (umów) między jednostkami samorządu terytorialnego</t>
  </si>
  <si>
    <t>2888</t>
  </si>
  <si>
    <t>2889</t>
  </si>
  <si>
    <t>Dotacja celowa otrzymana przez jednostkę samorządu terytorialnego od innej jednostki samorządu terytorialnego będącej instytucją wdrażającą na zadania bieżące realizowane na podstawie porozumień (umów)</t>
  </si>
  <si>
    <t>w tym:</t>
  </si>
  <si>
    <t>Zadania w zakresie administracji publicznej</t>
  </si>
  <si>
    <t>0830</t>
  </si>
  <si>
    <t>0920</t>
  </si>
  <si>
    <t>0970</t>
  </si>
  <si>
    <t>0570</t>
  </si>
  <si>
    <t>0690</t>
  </si>
  <si>
    <t>0750</t>
  </si>
  <si>
    <t>55097</t>
  </si>
  <si>
    <t>Gospodarstwa pomocnicze</t>
  </si>
  <si>
    <t>2380</t>
  </si>
  <si>
    <t>0470</t>
  </si>
  <si>
    <t>0490</t>
  </si>
  <si>
    <t>0760</t>
  </si>
  <si>
    <t>0770</t>
  </si>
  <si>
    <t>0350</t>
  </si>
  <si>
    <t>0910</t>
  </si>
  <si>
    <t>0310</t>
  </si>
  <si>
    <t>0320</t>
  </si>
  <si>
    <t>0330</t>
  </si>
  <si>
    <t>§290</t>
  </si>
  <si>
    <t>2040</t>
  </si>
  <si>
    <t>Dotacje celowe otrzymane z budżetu panstwa na realizację zadań bieżących gmin z zakresu edukacyjnej opieki wychowawczej finansowanych w całości przez budżet państwa w ramach programów rządowych</t>
  </si>
  <si>
    <t>2460</t>
  </si>
  <si>
    <t>Środki otrzymane od pozostałych jednostek zaliczanych do sektora finansów publicznych na realizację zadań bieżących jednostek zaliczanych do sektora finansów publicznych</t>
  </si>
  <si>
    <t>Dotacja celowa otrzymana z tytułu pomocy finansowej udzielanej między jednostkami samorządu terytorialnego na dofinansowanie własnych zadań inwestycyjnych i zakupów inwestycyjnych</t>
  </si>
  <si>
    <t>gmina bieżące i majątkowe z wydruku Rekord</t>
  </si>
  <si>
    <t>Dotacje celowe otrzymane z budżetu państwa na zadania bieżące z zakresu administracji rządowej oraz inne zadania zlecone ustawami realizowane przez powiat</t>
  </si>
  <si>
    <t>HOTELE I RESTAURACJE</t>
  </si>
  <si>
    <t>Prace geodezyjne i kartograficzne (nieinwestycyjne)</t>
  </si>
  <si>
    <t>dotacje z funduszy celowych</t>
  </si>
  <si>
    <t>Finansowanie programów ześrodków bezzwrotnych pochodzących z Unii Europejskiej</t>
  </si>
  <si>
    <t>Dotacje otrzymane z państwowych funduszy celowych na realizację zadań bieżących jednostek sektora finansów publicznych</t>
  </si>
  <si>
    <t>2001</t>
  </si>
  <si>
    <t>POZOSTAŁE ZADANIA W ZAKRESIE POLITYKI SPOŁECZNEJ</t>
  </si>
  <si>
    <t>Żłobki</t>
  </si>
  <si>
    <t>85333</t>
  </si>
  <si>
    <t>Powiatowe urzędy pracy</t>
  </si>
  <si>
    <t>85395</t>
  </si>
  <si>
    <t>85401</t>
  </si>
  <si>
    <t>Świetlice szkolne</t>
  </si>
  <si>
    <t>§ 902</t>
  </si>
  <si>
    <t>Przychody ze spłat pożyczek udzielonych na finansowanie zadań realizowanych z udziałem środków pochodzących z budżetu Unii Europejskiej</t>
  </si>
  <si>
    <t>Przychody ze spłat pożyczek i kredytów udzielonych ze środków publicznych</t>
  </si>
  <si>
    <t>§ 951</t>
  </si>
  <si>
    <t>55095</t>
  </si>
  <si>
    <t>Dotacje celowe otrzymane z budżetu panstwa na zadania bieżące realizowane przez gminę na podstawie porozumień z organami administracji rządowej</t>
  </si>
  <si>
    <t>2900</t>
  </si>
  <si>
    <t>§092</t>
  </si>
  <si>
    <t>§090, 091, 092</t>
  </si>
  <si>
    <t>§001</t>
  </si>
  <si>
    <t>§002</t>
  </si>
  <si>
    <t>§031</t>
  </si>
  <si>
    <t>§032</t>
  </si>
  <si>
    <t>§033</t>
  </si>
  <si>
    <t>§034</t>
  </si>
  <si>
    <t>§035</t>
  </si>
  <si>
    <t>§036</t>
  </si>
  <si>
    <t>§037</t>
  </si>
  <si>
    <t>§039</t>
  </si>
  <si>
    <t>§040</t>
  </si>
  <si>
    <t>§041</t>
  </si>
  <si>
    <t>§042</t>
  </si>
  <si>
    <t>§043</t>
  </si>
  <si>
    <t>§046</t>
  </si>
  <si>
    <t>§048</t>
  </si>
  <si>
    <t>§050</t>
  </si>
  <si>
    <t>§056</t>
  </si>
  <si>
    <t>§059</t>
  </si>
  <si>
    <t>§049</t>
  </si>
  <si>
    <t xml:space="preserve">   - nadwyżka środków obrotowychwpłacona przez zakład budżetowy</t>
  </si>
  <si>
    <t>§269</t>
  </si>
  <si>
    <t>§083</t>
  </si>
  <si>
    <t>§057, 058</t>
  </si>
  <si>
    <t>75421</t>
  </si>
  <si>
    <t xml:space="preserve"> Zarządzanie kryzysowe</t>
  </si>
  <si>
    <t>Zadania w zakresie ratownictwa wodnego</t>
  </si>
  <si>
    <t>z wydruku:</t>
  </si>
  <si>
    <t>Pobyt dzieci w niepublicznym żłobku</t>
  </si>
  <si>
    <t>§283</t>
  </si>
  <si>
    <t>§280 
i 236</t>
  </si>
  <si>
    <t>§255</t>
  </si>
  <si>
    <t>wg REKORDU gmina łącznie</t>
  </si>
  <si>
    <t>wykonanie doch</t>
  </si>
  <si>
    <t>wyk.wyd</t>
  </si>
  <si>
    <t>zlecone i por</t>
  </si>
  <si>
    <t>SUMA</t>
  </si>
  <si>
    <t>1 + 2</t>
  </si>
  <si>
    <t>Różnica
 (5-8)</t>
  </si>
  <si>
    <t>0890</t>
  </si>
  <si>
    <t>Dotacje celowe otrzymane z budżetu państwa na 
realizację bieżących zadań własnych powiatu</t>
  </si>
  <si>
    <t>Wpływy z różnych opłat</t>
  </si>
  <si>
    <t>DOCHODY GMINY</t>
  </si>
  <si>
    <t>DOCHODY POWIATU</t>
  </si>
  <si>
    <t>Wpływy z różnych dochodów</t>
  </si>
  <si>
    <t>Pozostałe odsetki</t>
  </si>
  <si>
    <t>80103</t>
  </si>
  <si>
    <t>Oddziały przedszkolne w szkołach podstawowych</t>
  </si>
  <si>
    <t>Wpływy z tytułu przekształcenia prawa użytkowania wieczystego przysługującego osobom fizycznym w prawo własności</t>
  </si>
  <si>
    <t>Wpływy z opłaty komunikacyjnej</t>
  </si>
  <si>
    <t>Dotacje celowe otrzymane z budżetu państwa na zadania bieżące realizowane przez powiat na podstawie porozumień z organami administracji rządowej</t>
  </si>
  <si>
    <t>75101</t>
  </si>
  <si>
    <t xml:space="preserve">Urzędy naczelnych organów władzy państwowej, kontroli i ochrony prawa </t>
  </si>
  <si>
    <t>75601</t>
  </si>
  <si>
    <t>Wpływy z podatku dochodowego od osób fizycznych</t>
  </si>
  <si>
    <t>Podatek od nieruchomości</t>
  </si>
  <si>
    <t>Wpływy z opłaty targowej</t>
  </si>
  <si>
    <t>75618</t>
  </si>
  <si>
    <t>DOCHODY I WYDATKI  WEDŁUG DZIAŁÓW KLASYFIKACJI BUDŻETOWEJ</t>
  </si>
  <si>
    <t xml:space="preserve"> DOCHODY  WEDŁUG DZIAŁÓW, ROZDZIAŁÓW I PARAGRAFÓW KLASYFIKACJI BUDŻETOWEJ</t>
  </si>
  <si>
    <t>DOCHODY WEDŁUG WAŻNIEJSZYCH ŹRÓDEŁ</t>
  </si>
  <si>
    <t>WYDATKI WEDŁUG DZIAŁÓW I ROZDZIAŁÓW KLASYFIKACJI  BUDŻETOWEJ</t>
  </si>
  <si>
    <t>23.</t>
  </si>
  <si>
    <t>24.</t>
  </si>
  <si>
    <t>25.</t>
  </si>
  <si>
    <t>26.</t>
  </si>
  <si>
    <t>Wpływy z opłaty skarbowej</t>
  </si>
  <si>
    <t>75621</t>
  </si>
  <si>
    <t>Udziały gmin w podatkach stanowiących dochód 
budżetu państwa</t>
  </si>
  <si>
    <t>2. Dotacje podmiotowe (§2480 - instytucje kultury, §2510 - zakłady budżetowe, § 2540 - niepubliczne jednostki oświatowe, §2560 - publiczne ZOZ, §2580 - jednostki nie zaliczane do fp, §2590 - publiczne jednostki oświatowe)</t>
  </si>
  <si>
    <t>Samodzielny Publiczny Zakład Opieki Zdrowotnej Szpital Miejski im. Jana Garduły</t>
  </si>
  <si>
    <t>Środki na dofinansowanie własnych zadań bieżących gmin (związków gmin), powiatów (związków powiatów), samorządów województw, pozyskane z innych źródeł</t>
  </si>
  <si>
    <t>Środki z Funduszu Pracy otrzymane przez powiat z przeznaczeniem na finansowanie kosztów wynagrodzenia i składek na ubezpieczenia społeczne pracowników powiatowego urzędu pracy</t>
  </si>
  <si>
    <t>-</t>
  </si>
  <si>
    <t>Podatek dochodowy od osób prawnych</t>
  </si>
  <si>
    <t>75622</t>
  </si>
  <si>
    <t>75801</t>
  </si>
  <si>
    <t xml:space="preserve">    - inne lokalne opłaty</t>
  </si>
  <si>
    <t>Część oświatowa subwencji ogólnej dla jednostek 
samorządu terytorialnego</t>
  </si>
  <si>
    <t>Subwencje ogólne z budżetu państwa</t>
  </si>
  <si>
    <t>75802</t>
  </si>
  <si>
    <t>75814</t>
  </si>
  <si>
    <t>Różne rozliczenia finansowe</t>
  </si>
  <si>
    <t xml:space="preserve">Pozostałe odsetki </t>
  </si>
  <si>
    <t>85156</t>
  </si>
  <si>
    <t xml:space="preserve">Wpływy z usług </t>
  </si>
  <si>
    <t>GOSPODARKA KOMUNALNA I OCHRONA 
ŚRODOWISKA</t>
  </si>
  <si>
    <t>80113</t>
  </si>
  <si>
    <t>Dowożenie uczniów do szkół</t>
  </si>
  <si>
    <t>Przychody</t>
  </si>
  <si>
    <t>Wydatki</t>
  </si>
  <si>
    <t xml:space="preserve">Plan </t>
  </si>
  <si>
    <t xml:space="preserve">Wykonanie </t>
  </si>
  <si>
    <t>751</t>
  </si>
  <si>
    <t>Razem</t>
  </si>
  <si>
    <t>DOCHODY I WYDATKI ZWIĄZANE Z REALIZACJĄ ZADAŃ Z ZAKRESU ADMINISTRACJI RZĄDOWEJ 
I INNYCH ZADAŃ ZLECONYCH ODRĘBNYMI USTAWAMI</t>
  </si>
  <si>
    <t>DOCHODY I WYDATKI ZWIĄZANE Z REALIZACJĄ ZADAŃ Z ZAKRESU ADMINISTRACJI RZĄDOWEJ 
WYKONYWANYCH NA PODSTAWIE POROZUMIEŃ Z ORGANAMI ADMINISTRACJI RZĄDOWEJ</t>
  </si>
  <si>
    <t>Lp.</t>
  </si>
  <si>
    <t>I</t>
  </si>
  <si>
    <t>Dochody ogółem</t>
  </si>
  <si>
    <t>1.</t>
  </si>
  <si>
    <t>2.</t>
  </si>
  <si>
    <t>II</t>
  </si>
  <si>
    <t>Wydatki ogółem</t>
  </si>
  <si>
    <t>III</t>
  </si>
  <si>
    <t>X</t>
  </si>
  <si>
    <t>Inwestycje</t>
  </si>
  <si>
    <t>Stan środków obrotowych na koniec okresu sprawozdawczego</t>
  </si>
  <si>
    <t>Stan środków obrotowych na początek okresu sprawozdawczego</t>
  </si>
  <si>
    <t>Składki  na ubezpieczenie zdrowotne opłacane za osoby pobierające niektóre świadczenia z pomocy społecznej, niektóre świadczenia rodzinne oraz za osoby uczestniczące w zajęciach w centrum integracji społecznej</t>
  </si>
  <si>
    <t>IV</t>
  </si>
  <si>
    <t>z tego:</t>
  </si>
  <si>
    <t>Wydatki bieżące</t>
  </si>
  <si>
    <t>Transport i łączność</t>
  </si>
  <si>
    <t>Oświata i wychowanie</t>
  </si>
  <si>
    <t>Ochrona zdrowia</t>
  </si>
  <si>
    <t>- podmiotowa</t>
  </si>
  <si>
    <t>Wpływy z tytułu pomocy finansowej udzielanej między jednostkami samorządu terytorialnego na dofinansowanie własnych zadań inwestycyjnych i zakupów inwestycyjnych</t>
  </si>
  <si>
    <t>pozostałe wydatki</t>
  </si>
  <si>
    <t>Wpływy z tytułu pomocy finansowej udzielanej między jednostkami samorządu terytorialnego na dofinansowanie własnych zadań bieżących</t>
  </si>
  <si>
    <t>Drogi publiczne krajowe</t>
  </si>
  <si>
    <t>Dotacje celowe otrzymane z budżetu państwa na 
realizację inwestycji i zakupów inwestycyjnych własnych powiatu</t>
  </si>
  <si>
    <t>GOSPODARKA KOMUNALNA I OCHRONA ŚRODOWISKA</t>
  </si>
  <si>
    <t>90004</t>
  </si>
  <si>
    <t>Utrzymanie zieleni w miastach i gminach</t>
  </si>
  <si>
    <t>90006</t>
  </si>
  <si>
    <t>Ochrona gleby i wód podziemnych</t>
  </si>
  <si>
    <t>90013</t>
  </si>
  <si>
    <t>Świadczenia rodzinne, świadczenie z funduszu alimentacyjnego oraz składki na ubezpieczenia emerytalne i rentowe z ubezpieczenia społecznego</t>
  </si>
  <si>
    <t>Przychody z zaciągniętych pożyczek i kredytów na rynku krajowym</t>
  </si>
  <si>
    <t>§ 952</t>
  </si>
  <si>
    <t>- obligacje komunalne</t>
  </si>
  <si>
    <t>Schroniska dla zwierząt</t>
  </si>
  <si>
    <t>KULTURA I OCHRONA DZIEDZICTWA NARODOWEGO</t>
  </si>
  <si>
    <t>92109</t>
  </si>
  <si>
    <t>Domy i ośrodki kultury, świetlice i kluby</t>
  </si>
  <si>
    <t>92116</t>
  </si>
  <si>
    <t>Biblioteki</t>
  </si>
  <si>
    <t>92118</t>
  </si>
  <si>
    <t>Muzea</t>
  </si>
  <si>
    <t>92195</t>
  </si>
  <si>
    <t>I. Dochody własne</t>
  </si>
  <si>
    <t>1. Podatki</t>
  </si>
  <si>
    <t>27.</t>
  </si>
  <si>
    <t>28.</t>
  </si>
  <si>
    <t>29.</t>
  </si>
  <si>
    <t>2708</t>
  </si>
  <si>
    <t>3.1</t>
  </si>
  <si>
    <t>3.2</t>
  </si>
  <si>
    <t>3.3</t>
  </si>
  <si>
    <t>4.1</t>
  </si>
  <si>
    <t>4.2</t>
  </si>
  <si>
    <t>4.3</t>
  </si>
  <si>
    <t>32.</t>
  </si>
  <si>
    <t>Prowadzenie środowiskowego domu samopomocy</t>
  </si>
  <si>
    <t>Koszty</t>
  </si>
  <si>
    <t>MUZEUM RYBOŁÓWSTWA MORSKIEGO</t>
  </si>
  <si>
    <t>MOPR</t>
  </si>
  <si>
    <t>PUP</t>
  </si>
  <si>
    <t>Przebudowa chodników i jezdni w drogach powiatowych</t>
  </si>
  <si>
    <t>zlecone i własne G</t>
  </si>
  <si>
    <t>Zakupy inwestycyjne dla Policji</t>
  </si>
  <si>
    <t>Wpływy i wydatki związane z gromadzeniem środków z opłat i kar za korzystanie ze środowiska</t>
  </si>
  <si>
    <t>Finansowanie programów i projektów ze środków funduszy strukturalnych, Funduszu Spójności, Europejskiego Funduszu Rybackiego oraz z funduszy unijnych finansujących Wspólną Politykę Rolną</t>
  </si>
  <si>
    <t xml:space="preserve">      - uzupełnienie dochodów gminy</t>
  </si>
  <si>
    <t>Składki na ubezpieczenie zdrowotne opłacane za osoby pobierające niektóre świadczenia z pomocy społecznej, niektóre świadczenia rodzinne oraz za osoby uczestniczące w zajęciach w centrum integracji społecznej</t>
  </si>
  <si>
    <t>Współfinansowanie programów i projektów realizowanych ze środków funduszy strukturalnych, Funduszu Spójności, Europejskiego Funduszu Rybackiego oraz z funduszy unijnych finansujących Wspólną Politykę Rolną</t>
  </si>
  <si>
    <t>Środki na  inwestycje na drogach publicznych powiatowych i wojewódzkich oraz na drogach powiatowych, wojewódzkich i krajowych w granicach miast na prawach powiatu</t>
  </si>
  <si>
    <t>razem z pochodnymi od świadczeń społ.</t>
  </si>
  <si>
    <t>Zespół Szkolno-Przedszkolny</t>
  </si>
  <si>
    <t>Zakup usług zdrowotnych</t>
  </si>
  <si>
    <t>OŚRODEK SPORTU I REKREACJI "WYSPIARZ"</t>
  </si>
  <si>
    <t>Wpłaty na Państwowy Fundusz Rehabilitacji Osób Niepełnosprawnych</t>
  </si>
  <si>
    <t>Zakup usług obejmujących wykonanie ekspertyz, analiz i opinii</t>
  </si>
  <si>
    <t>Podróże służbowe zagraniczne</t>
  </si>
  <si>
    <t>Opłaty na rzecz budżetów jednostek samorządu terytorialnego</t>
  </si>
  <si>
    <t>Wpłata do budżetu nadwyżki środków obrotowych</t>
  </si>
  <si>
    <t>V.</t>
  </si>
  <si>
    <t>Gimnazjum im. św. Jadwigi Królowej</t>
  </si>
  <si>
    <t>Katolickie Liceum Ogólnokształcące im. św. Jadwigi Królowej</t>
  </si>
  <si>
    <t>Liceum Ogólnokształcące im. św. Jadwigi Królowej dla Dorosłych</t>
  </si>
  <si>
    <t>RAZEM III+IV+V</t>
  </si>
  <si>
    <t>Różnica
(5 - 6)</t>
  </si>
  <si>
    <t>4. Dochody z majątku</t>
  </si>
  <si>
    <t>programy unijne</t>
  </si>
  <si>
    <t>6180</t>
  </si>
  <si>
    <t>75803</t>
  </si>
  <si>
    <t>Część wyrównawcza subwencji ogólnej dla powiatów</t>
  </si>
  <si>
    <t>2009</t>
  </si>
  <si>
    <t>Tabela 1</t>
  </si>
  <si>
    <t>Tabela 2</t>
  </si>
  <si>
    <t xml:space="preserve">             Tabela nr 4</t>
  </si>
  <si>
    <t>Tabela nr  9</t>
  </si>
  <si>
    <t>Tabela nr 10</t>
  </si>
  <si>
    <t>Tabela nr 11</t>
  </si>
  <si>
    <t>Tabela nr 18</t>
  </si>
  <si>
    <t>Tabela 24</t>
  </si>
  <si>
    <t>Tabela 23</t>
  </si>
  <si>
    <t>Tabela 22</t>
  </si>
  <si>
    <t>Tabela 21</t>
  </si>
  <si>
    <t>Tabela 20</t>
  </si>
  <si>
    <t>transfery z budżetu państwa (dotacje, subwencje, udziały, rekompensaty)</t>
  </si>
  <si>
    <t>Rozdział 92118</t>
  </si>
  <si>
    <t>Dotacje celowe otrzymane z budżetu państwa na inwestycje i zakupy inwestycyjne realizowane przez powiat na podstawie porozumień z organami administracji rządowej</t>
  </si>
  <si>
    <t>Finansowanie z pożyczek i kredytów zagranicznych</t>
  </si>
  <si>
    <t>różnica</t>
  </si>
  <si>
    <t>75704</t>
  </si>
  <si>
    <t>Rozliczenia z tytułu poręczeń i gwarancji udzielonych przez Skarb Państwa lub jednostkę samorządu terytorialnego</t>
  </si>
  <si>
    <t>- wydatki z tytułu poręczeń i gwarancji</t>
  </si>
  <si>
    <t>AMORTYZACJA</t>
  </si>
  <si>
    <t>ZUŻYCIE MATERIAŁÓW</t>
  </si>
  <si>
    <t>2.4</t>
  </si>
  <si>
    <t>2.5</t>
  </si>
  <si>
    <t>Zakład Gospodarki Mieszkaniowej</t>
  </si>
  <si>
    <t xml:space="preserve">Zespoły do spraw orzekania
o niepełnosprawności </t>
  </si>
  <si>
    <t>BEZPIECZEŃSTWO PUBLICZNE 
I OCHRONA PRZECIWPOŻAROWA</t>
  </si>
  <si>
    <t>3.</t>
  </si>
  <si>
    <t>60041</t>
  </si>
  <si>
    <t>Infrastruktura portowa</t>
  </si>
  <si>
    <t>Wpływy z innych lokalnych opłat pobieranych przez jednostki samorządu terytorialnego na podstawie odrębnych ustaw</t>
  </si>
  <si>
    <t>90020</t>
  </si>
  <si>
    <t>Wpływy i wydatki związane z gromadzeniem środków z opłat produktowych</t>
  </si>
  <si>
    <t>Wpływy z opłaty produktowej</t>
  </si>
  <si>
    <t>4.</t>
  </si>
  <si>
    <t>5.</t>
  </si>
  <si>
    <t>6.</t>
  </si>
  <si>
    <t>9.</t>
  </si>
  <si>
    <t>- inne źródła</t>
  </si>
  <si>
    <t>10.</t>
  </si>
  <si>
    <t>12.</t>
  </si>
  <si>
    <t>13.</t>
  </si>
  <si>
    <t>15.</t>
  </si>
  <si>
    <t>16.</t>
  </si>
  <si>
    <t>17.</t>
  </si>
  <si>
    <t>18.</t>
  </si>
  <si>
    <t>2910</t>
  </si>
  <si>
    <t xml:space="preserve">Koszty zakupu sprzedanych towarów </t>
  </si>
  <si>
    <t xml:space="preserve">    - od działalności gospodarczej osób fizycznych,      opłacany w formie karty podatkowej</t>
  </si>
  <si>
    <t>ma być</t>
  </si>
  <si>
    <t>Wpływy ze zwrotów dotacji wykorzystanych niezgodnie z przeznaczeniem lub pobranych w nadmiernej wysokości</t>
  </si>
  <si>
    <t>19.</t>
  </si>
  <si>
    <t>20.</t>
  </si>
  <si>
    <t>21.</t>
  </si>
  <si>
    <t>22.</t>
  </si>
  <si>
    <t>§282</t>
  </si>
  <si>
    <t>1. Dotacje przedmiotowe (§ 2650 - zakłady budżetowe)</t>
  </si>
  <si>
    <t>§232</t>
  </si>
  <si>
    <t>§258</t>
  </si>
  <si>
    <t>§259</t>
  </si>
  <si>
    <t>Różnica bieżące</t>
  </si>
  <si>
    <t>- wydatki jednostek budżetowych</t>
  </si>
  <si>
    <t xml:space="preserve">   - wydatki związane z realizacją zadań statutowych</t>
  </si>
  <si>
    <t>- dotacje i subwencje</t>
  </si>
  <si>
    <t>Wydatki majątkowe</t>
  </si>
  <si>
    <t>- inwestycje</t>
  </si>
  <si>
    <t>Działania merytoryczne</t>
  </si>
  <si>
    <t>- świadczenia na rzecz osób fizycznych</t>
  </si>
  <si>
    <t>Wybory Prezydenta Rzeczypospolitej Polskiej</t>
  </si>
  <si>
    <t>- obsługa długu publicznego</t>
  </si>
  <si>
    <t>80105</t>
  </si>
  <si>
    <t>Przedszkola specjalne</t>
  </si>
  <si>
    <t>Zadania w zakresie przeciwdziałania przemocy w rodzinie</t>
  </si>
  <si>
    <t>- wydatki jednostek pomocniczych</t>
  </si>
  <si>
    <t>- programy unijne</t>
  </si>
  <si>
    <t>Różnica majątkowe</t>
  </si>
  <si>
    <t>Warsztaty Terapii Zajęciowej</t>
  </si>
  <si>
    <t>§265</t>
  </si>
  <si>
    <t>§254</t>
  </si>
  <si>
    <t>§248</t>
  </si>
  <si>
    <t>§256</t>
  </si>
  <si>
    <t>§621</t>
  </si>
  <si>
    <t>§622</t>
  </si>
  <si>
    <t>wpływy z przekształcenia i sprzedaży nieruchomości i składników majątkowych</t>
  </si>
  <si>
    <t>DOTACJE INWESTYCYJNE</t>
  </si>
  <si>
    <t>§617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</si>
  <si>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</si>
  <si>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</si>
  <si>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</si>
  <si>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</si>
  <si>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</si>
  <si>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>Zakup usług remontowych</t>
  </si>
  <si>
    <t>2310</t>
  </si>
  <si>
    <t>2700</t>
  </si>
  <si>
    <t>Stołówki szkolne i przedszkolne</t>
  </si>
  <si>
    <t>85334</t>
  </si>
  <si>
    <t>Pomoc dla repatriantów</t>
  </si>
  <si>
    <t>Zakup usług pozostałych</t>
  </si>
  <si>
    <t>Opłaty za administrowanie i czynsze za budynki, lokale i pomieszczenia garażowe</t>
  </si>
  <si>
    <t>Podróże służbowe krajowe</t>
  </si>
  <si>
    <t>Różne opłaty i składki</t>
  </si>
  <si>
    <t>Odpisy na zakładowy fundusz świadczeń socjalnych</t>
  </si>
  <si>
    <t xml:space="preserve">Odsetki od nieterminowych wpłat z tytułu pozostałych podatków i opłat </t>
  </si>
  <si>
    <t>Kary i odszkodowania wypłacane na rzecz osób fizycznych</t>
  </si>
  <si>
    <t>Szkolenia pracowników niebędących członkami korpusu służby cywilnej</t>
  </si>
  <si>
    <t>Zakup materiałów papierniczych do sprzętu drukarskiego i urządzeń kserograficznych</t>
  </si>
  <si>
    <t>,</t>
  </si>
  <si>
    <t>Zakup akcesoriów komputerowych, w tym programów i licencji</t>
  </si>
  <si>
    <t>odpisy amortyzacji</t>
  </si>
  <si>
    <t>inne zmniejszenia</t>
  </si>
  <si>
    <t>IV.</t>
  </si>
  <si>
    <t>RAZEM III+IV</t>
  </si>
  <si>
    <t>Wpłata środków finansowych z niewykorzystanych w terminie wydatków, które nie wygasają z upływem roku budżetowego</t>
  </si>
  <si>
    <t>85278</t>
  </si>
  <si>
    <t>2008</t>
  </si>
  <si>
    <t>wykonanie</t>
  </si>
  <si>
    <t>Przebudowa chodników i jezdni w drogach gminnych</t>
  </si>
  <si>
    <t>75108</t>
  </si>
  <si>
    <t>Wybory do Sejmu i Senatu</t>
  </si>
  <si>
    <t>2990</t>
  </si>
  <si>
    <t>6680</t>
  </si>
  <si>
    <t xml:space="preserve"> DOCHODY  MAJĄTKOWE WEDŁUG DZIAŁÓW, ROZDZIAŁÓW I PARAGRAFÓW KLASYFIKACJI BUDŻETOWEJ</t>
  </si>
  <si>
    <t>DOCHODY MAJĄTKOWE GMINY</t>
  </si>
  <si>
    <t>DOCHODY MAJĄTKOWE POWIATU</t>
  </si>
  <si>
    <t>OGÓŁEM DOCHODY MAJĄTKOWE (GMINA + POWIAT)</t>
  </si>
  <si>
    <t xml:space="preserve">    - eksploatacyjna</t>
  </si>
  <si>
    <t>POWIAT</t>
  </si>
  <si>
    <t xml:space="preserve">    - za zezwolenia na sprzedaż alkoholu</t>
  </si>
  <si>
    <t xml:space="preserve">    - za koncesje i licencje</t>
  </si>
  <si>
    <t xml:space="preserve">    - w podatku dochodowym od osób fizycznych</t>
  </si>
  <si>
    <t xml:space="preserve">    - w podatku dochodowym od osób prawnych</t>
  </si>
  <si>
    <t>Różnica</t>
  </si>
  <si>
    <t xml:space="preserve">    - wpływy z usług</t>
  </si>
  <si>
    <t xml:space="preserve">     RAZEM I+II+III</t>
  </si>
  <si>
    <t xml:space="preserve">    - środki pozyskane z innych źródeł</t>
  </si>
  <si>
    <t xml:space="preserve">  a) oświatowa</t>
  </si>
  <si>
    <t xml:space="preserve">  b) uzupełnienie subwencji</t>
  </si>
  <si>
    <t xml:space="preserve">        - powiat</t>
  </si>
  <si>
    <t xml:space="preserve">        - gmina</t>
  </si>
  <si>
    <t>ZMIANY DOKONANE W PRZYCHODACH I ROZCHODACH</t>
  </si>
  <si>
    <t xml:space="preserve">       - powiat</t>
  </si>
  <si>
    <t xml:space="preserve">       - gmina</t>
  </si>
  <si>
    <t>2701</t>
  </si>
  <si>
    <t>85324</t>
  </si>
  <si>
    <t>Państwowy Fundusz Rehabilitacji Osób Niepełnosprawnych</t>
  </si>
  <si>
    <t>Nr uchwały
 lub zarządzenia</t>
  </si>
  <si>
    <t>75818</t>
  </si>
  <si>
    <t>Rezerwy ogólne i celowe</t>
  </si>
  <si>
    <t>85311</t>
  </si>
  <si>
    <t>Wyszczególnienie jednostek</t>
  </si>
  <si>
    <t>Liceum Ogólnokształcące z Oddziałami Integracyjnymi</t>
  </si>
  <si>
    <t>Rehabilitacja zawodowa i społeczna osób niepełnosprawnych</t>
  </si>
  <si>
    <t>75406</t>
  </si>
  <si>
    <t>Straż Graniczna</t>
  </si>
  <si>
    <t>60004</t>
  </si>
  <si>
    <t>Lokalny transport zbiorowy</t>
  </si>
  <si>
    <t>DOCHODY-WYDATKI</t>
  </si>
  <si>
    <t xml:space="preserve">  d) na zadania realizowane na podstawie porozumień z innymi jst lub z tytułu pomocy finansowej udzielonej między jst</t>
  </si>
  <si>
    <t xml:space="preserve">  e) pozostałe dotacje (np. rozwojowe, z funduszu celowego)</t>
  </si>
  <si>
    <t>Uzupełnienie subwencji ogólnej dla jednostek 
samorządu terytorialnego</t>
  </si>
  <si>
    <t>Składki na ubezpieczenie zdrowotne oraz świadczenia dla osób nieobjętych obowiązkiem ubezpieczenia zdrowotnego</t>
  </si>
  <si>
    <t>Ośrodki rewalidacyjno-wychowawcze</t>
  </si>
  <si>
    <t xml:space="preserve">Dział  </t>
  </si>
  <si>
    <t>ROLNICTWO I ŁOWIECTWO</t>
  </si>
  <si>
    <t>01008</t>
  </si>
  <si>
    <t>Melioracje wodne</t>
  </si>
  <si>
    <t>01030</t>
  </si>
  <si>
    <t>Izby rolnicze</t>
  </si>
  <si>
    <t>01095</t>
  </si>
  <si>
    <t xml:space="preserve">LEŚNICTWO </t>
  </si>
  <si>
    <t>WYTWARZANIE I ZAOPATRYWANIE 
W ENERGIĘ ELEKTRYCZNĄ, GAZ I WODĘ</t>
  </si>
  <si>
    <t>40002</t>
  </si>
  <si>
    <t>Dostarczanie wody</t>
  </si>
  <si>
    <t>HANDEL</t>
  </si>
  <si>
    <t>Zadania w zakresie kultury i ochrony dziedzictwa narodowego</t>
  </si>
  <si>
    <t>Ośrodek Sportu i Rekreacji "Wyspiarz"</t>
  </si>
  <si>
    <t>Zespół Szkół Publicznych nr 4 
z Oddziałami Integracyjnymi</t>
  </si>
  <si>
    <t>Prowadzenie spraw orzekania o niepełnosprawności</t>
  </si>
  <si>
    <t>Tabela nr 8</t>
  </si>
  <si>
    <t>50095</t>
  </si>
  <si>
    <t>Programy polityki zdrowotnej</t>
  </si>
  <si>
    <t xml:space="preserve">   - wynagrodzenia i pochodne</t>
  </si>
  <si>
    <t>63095</t>
  </si>
  <si>
    <t xml:space="preserve">Pozostała działalność </t>
  </si>
  <si>
    <t>70001</t>
  </si>
  <si>
    <t xml:space="preserve"> I Liceum Ogólnokształcące Towarzystwa Oświatowo-Promocyjnego "Business-Pro"</t>
  </si>
  <si>
    <t>Zakłady gospodarki mieszkaniowej</t>
  </si>
  <si>
    <t>70095</t>
  </si>
  <si>
    <t>71004</t>
  </si>
  <si>
    <t>Plany zagospodarowania przestrzennego</t>
  </si>
  <si>
    <t>75022</t>
  </si>
  <si>
    <t>Rady gmin (miast i miast na prawach powiatu)</t>
  </si>
  <si>
    <t xml:space="preserve">Urzędy naczelnych organów władzy państwowej,
kontroli i ochrony prawa </t>
  </si>
  <si>
    <t>75405</t>
  </si>
  <si>
    <t>Komendy powiatowe Policji</t>
  </si>
  <si>
    <t>75412</t>
  </si>
  <si>
    <t>Ochotnicze straże pożarne</t>
  </si>
  <si>
    <t>75495</t>
  </si>
  <si>
    <t>90019</t>
  </si>
  <si>
    <t>75478</t>
  </si>
  <si>
    <t>Usuwanie skutków klęsk żywiołowych</t>
  </si>
  <si>
    <t>Wpływy do budżetu pozostałości środków finansowych gromadzonych na wydzielonym rachunku jednostki budżetowej</t>
  </si>
  <si>
    <t>różnica (Rb 27 - zestawienie) dochody bieżące</t>
  </si>
  <si>
    <t xml:space="preserve">    - wpływ pozostałości środków z rachunku dochodów własnych jednostek</t>
  </si>
  <si>
    <t>DOCHODY OD OSÓB PRAWNYCH, OD OSÓB FIZYCZNYCH I OD INNYCH JEDNOSTEK NIEPOSIADAJĄCYCH OSOBOWOŚCI PRAWNEJ ORAZ WYDATKI ZWIĄZANE Z ICH POBOREM</t>
  </si>
  <si>
    <t>Zasiłki stałe</t>
  </si>
  <si>
    <t xml:space="preserve">    - od posiadania psów</t>
  </si>
  <si>
    <t>Prowadzenie schroniska dla zwierząt</t>
  </si>
  <si>
    <t>75647</t>
  </si>
  <si>
    <t>Pobór podatków, opłat i niepodatkowych należności budżetowych</t>
  </si>
  <si>
    <t>Podatek od towarów i usług (VAT)</t>
  </si>
  <si>
    <t>OBSŁUGA DŁUGU PUBLICZNEGO</t>
  </si>
  <si>
    <t>75702</t>
  </si>
  <si>
    <t xml:space="preserve">ZAKŁAD GOSPODARKI MIESZKANIOWEJ </t>
  </si>
  <si>
    <t>Rozdział 70001</t>
  </si>
  <si>
    <t>Rozdział 92605</t>
  </si>
  <si>
    <t>Rozdział 92109</t>
  </si>
  <si>
    <t>Obsługa papierów wartościowych, kredytów 
i pożyczek jednostek samorządu terytorialnego</t>
  </si>
  <si>
    <t>80102</t>
  </si>
  <si>
    <t>Szkoły podstawowe specjalne</t>
  </si>
  <si>
    <t>Kwalifikacja wojskowa</t>
  </si>
  <si>
    <t>80104</t>
  </si>
  <si>
    <t>Przedszkola</t>
  </si>
  <si>
    <t xml:space="preserve">Wartość wydatków </t>
  </si>
  <si>
    <t>Ośrodek Rehabilitacyjno-Edukacyjno-Wychowawczy Polskiego Stowarzyszenia na Rzecz Osób z Upośledzeniem Umysłowym Koło w Świnoujściu</t>
  </si>
  <si>
    <t>80111</t>
  </si>
  <si>
    <t>Gimnazja specjalne</t>
  </si>
  <si>
    <t xml:space="preserve">Licea ogólnokształcące </t>
  </si>
  <si>
    <t>80134</t>
  </si>
  <si>
    <t>Szkoły zawodowe specjalne</t>
  </si>
  <si>
    <t>80140</t>
  </si>
  <si>
    <t>Centra kształcenia ustawicznego i praktycznego 
oraz ośrodki dokształcania zawodowego</t>
  </si>
  <si>
    <t>80146</t>
  </si>
  <si>
    <t>Dokształcanie i doskonalenie nauczycieli</t>
  </si>
  <si>
    <t>80195</t>
  </si>
  <si>
    <t>85111</t>
  </si>
  <si>
    <t>Szpitale ogólne</t>
  </si>
  <si>
    <t>85117</t>
  </si>
  <si>
    <t>Tabela nr 16</t>
  </si>
  <si>
    <t>Zakłady opiekuńczo - lecznicze i pielęgnacyjno - opiekuńcze</t>
  </si>
  <si>
    <t>85149</t>
  </si>
  <si>
    <t>WYNAGRODZENIA</t>
  </si>
  <si>
    <t>NARZUTY NA WYNAGRODZENIA</t>
  </si>
  <si>
    <t>ŚWIADCZENIA NA RZECZ PRACOWNIKÓW</t>
  </si>
  <si>
    <t>inwestycje (bez programów unijnych)</t>
  </si>
  <si>
    <t>różnica:</t>
  </si>
  <si>
    <t>z § 285, 296, 300</t>
  </si>
  <si>
    <t>- dotacje i subwencje (wpłata na rzecz izb rolniczych)</t>
  </si>
  <si>
    <t>- dotacje i subwencje (przelewy redystrybucyjne)</t>
  </si>
  <si>
    <t>- dotacje i subwencje (wpłaty na państwowy fundusz celowy)</t>
  </si>
  <si>
    <t>Obrona narodowa</t>
  </si>
  <si>
    <t>§236</t>
  </si>
  <si>
    <t>Gimnazjum dla Dorosłych "Żak"</t>
  </si>
  <si>
    <t>Liceum Ogólnokształcące "Hossa" Centrum Edukacji i Wspierania Przedsiębiorczości Szczecińskiej Fundacji "Talent-Promocja-Postęp"</t>
  </si>
  <si>
    <t>Prywatne Liceum Ogólnokształcące dla Dorosłych "Twoja Szkoła"</t>
  </si>
  <si>
    <t>Liceum Ogólnokształcące dla Dorosłych "Żak"</t>
  </si>
  <si>
    <t>Wplywy z różnych dochodów</t>
  </si>
  <si>
    <t>wpisane ręcznie</t>
  </si>
  <si>
    <t>wpisane ręczne</t>
  </si>
  <si>
    <t>kolumna 6-11 ręcznie</t>
  </si>
  <si>
    <t>Wpływy ze zwrotów dotacji oraz płatności, w tym wykorzystanych niezgodnie z przeznaczeniem lub wykorzystanych z naruszeniem procedur, o którychmowa w art. 184 ustawy, pobranych nienależnie lub w nadmiernej wysokości</t>
  </si>
  <si>
    <t>75113</t>
  </si>
  <si>
    <t>Wybory do Parlamentu Europejskiego</t>
  </si>
  <si>
    <t>75624</t>
  </si>
  <si>
    <t>0740</t>
  </si>
  <si>
    <t>6280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</si>
  <si>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</si>
  <si>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Dywidendy</t>
  </si>
  <si>
    <t>Wpływy z dywidend</t>
  </si>
  <si>
    <t>Otrzymane środki
 (§ 2310 i 2900)
ogółem</t>
  </si>
  <si>
    <t>OD 2012 R. DOCHODY POWIATU SĄ W § 2900  A NIE § 2320</t>
  </si>
  <si>
    <t>zlecone gmina i powiat</t>
  </si>
  <si>
    <t>porozumienia gmina i powiat</t>
  </si>
  <si>
    <t>własne gmina i powiat</t>
  </si>
  <si>
    <t>PG</t>
  </si>
  <si>
    <t>PP, ZP</t>
  </si>
  <si>
    <t>PP,WP</t>
  </si>
  <si>
    <t>ZG</t>
  </si>
  <si>
    <t>ZG,ZP</t>
  </si>
  <si>
    <t>ZG,WG</t>
  </si>
  <si>
    <t>WG</t>
  </si>
  <si>
    <t>ZP</t>
  </si>
  <si>
    <t>WP</t>
  </si>
  <si>
    <t>ZG,WP</t>
  </si>
  <si>
    <t>80106</t>
  </si>
  <si>
    <t>Inne formy wychowania przedszkolnego</t>
  </si>
  <si>
    <t>ZWROT DOTACJI</t>
  </si>
  <si>
    <t>nie ma tu par. 2360,2460,2690,2900,2910</t>
  </si>
  <si>
    <t xml:space="preserve">transfery z budżetu państwa </t>
  </si>
  <si>
    <t>par. 618,633,641,642,643</t>
  </si>
  <si>
    <t>par.76,77,87</t>
  </si>
  <si>
    <t>par.270</t>
  </si>
  <si>
    <t>dotacje i subwencje (w tym zwroty dotacji)</t>
  </si>
  <si>
    <t>dotacje i wpłaty na fundusz celowy (w tym zwroty dotacji)</t>
  </si>
  <si>
    <t>par.6010</t>
  </si>
  <si>
    <t>wpisać ręcznie par.6060</t>
  </si>
  <si>
    <t>wpisać ręcznie par 6050</t>
  </si>
  <si>
    <t>- programy unijne (dotacja z budżetu)</t>
  </si>
  <si>
    <t xml:space="preserve">    - zwrot dotacji </t>
  </si>
  <si>
    <t>§270,246,428,628,629</t>
  </si>
  <si>
    <t>203,204,287</t>
  </si>
  <si>
    <t>§292</t>
  </si>
  <si>
    <t>§293</t>
  </si>
  <si>
    <t>Szkoła Podstawowa Fundacji LOGOS</t>
  </si>
  <si>
    <t>Policealna Szkoła Centrum Nauki i Biznesu "Żak"  - kursy</t>
  </si>
  <si>
    <t>Realizacja na terenie szkół ponadgimnazjalnych zajęć edukacyjno-profilaktycznych dotyczących przeciwdziałania narkomanii ze szczególnym uwzględnieniem w okresie od 1 września 2014r. do 15 grudnia 2014 r.</t>
  </si>
  <si>
    <t>§236 i 283</t>
  </si>
  <si>
    <t>vat</t>
  </si>
  <si>
    <t>Przebudowa ulicy Wojska Polskiego</t>
  </si>
  <si>
    <t>Rozbudowa ulicy Bydgoskiej</t>
  </si>
  <si>
    <t>Rozbudowa cmentarza komunalnego w Świnoujściu</t>
  </si>
  <si>
    <t>Dotacja przedmiotowa z budżetu otrzymana przez samorządowy zakład budżetowy (brutto)</t>
  </si>
  <si>
    <t>6210</t>
  </si>
  <si>
    <t>Wydatki na zakupy inwestycyjne samorządowych zakładów budżetowych</t>
  </si>
  <si>
    <t>Dotacja przedmiotowa z budżetu otrzymana przez samorządowy zakład budżetowy (netto)</t>
  </si>
  <si>
    <t xml:space="preserve">Składki na ubezpieczenia społeczne </t>
  </si>
  <si>
    <t>Dotacja bieżąca z budżetu Miasta</t>
  </si>
  <si>
    <t>Dotacja UE na realizację projektu</t>
  </si>
  <si>
    <t>Wydatki na inwestycje i zakupy inwestycyjne</t>
  </si>
  <si>
    <t>Dotacja inwestycyjna z budżetu Miasta</t>
  </si>
  <si>
    <t>- na działalność bieżącą</t>
  </si>
  <si>
    <t>Dotacja bieżąca z MKiDN</t>
  </si>
  <si>
    <t>Pozostałe koszty</t>
  </si>
  <si>
    <t xml:space="preserve">Dotacja celowa z budżetu miasta </t>
  </si>
  <si>
    <t>Remont elewacji budynku niesfinansowany dotacją celową - koszty roku 2012</t>
  </si>
  <si>
    <t>Wydatki inwestycyjne - zakup gablot dla eksponatów</t>
  </si>
  <si>
    <t>materiały medyczne + pieluchomajtki</t>
  </si>
  <si>
    <t>OGÓŁEM NAKŁADY</t>
  </si>
  <si>
    <t>ZYSK/STRATA BRUTTO</t>
  </si>
  <si>
    <t>Dotacja celowa otrzymana z budzetu na finansowanie lub dofinansowanie kosztów realizacji inwestycji i zakupów inwestycyjnych - nie wpisujemy dla zgodnosci z RB 30 tylko w opisie</t>
  </si>
  <si>
    <t>Dotacja celowa otrzymana z budzetu na finansowanie lub dofinansowanie kosztów realizacji inwestycji i zakupów inwestycyjnych - nie wpisujemy dla zgodności z RB 30</t>
  </si>
  <si>
    <t>nagrody (w tym jubileuszowe)</t>
  </si>
  <si>
    <t xml:space="preserve">opłaty pacjentów </t>
  </si>
  <si>
    <t>ZMIANA STANU PRODUKTÓW</t>
  </si>
  <si>
    <t>- bezosobowe</t>
  </si>
  <si>
    <t>Zużycie materiałów i wyposażenia</t>
  </si>
  <si>
    <t>- w tym usługi remontowe</t>
  </si>
  <si>
    <t>Podatki i opłaty</t>
  </si>
  <si>
    <t>Bez dotacji z § 2870 dla gmin uzdrowiskowych oraz dotacji w ramach projektów unijnych i środków na dofinansowanie inwestycji</t>
  </si>
  <si>
    <t>5.3</t>
  </si>
  <si>
    <t>Środki z Funduszu Pracy</t>
  </si>
  <si>
    <t>Zakup 2 zestawów komputerowych</t>
  </si>
  <si>
    <t>rb NDS</t>
  </si>
  <si>
    <t xml:space="preserve">   - wydatki związane z realizacją zadań statutowych (w tym na jednostki pomocnicze)</t>
  </si>
  <si>
    <t xml:space="preserve">INFORMACJA O WYSOKOŚCI NADWYŻKI BUDŻETOWEJ  </t>
  </si>
  <si>
    <t xml:space="preserve">Nr uchwały </t>
  </si>
  <si>
    <t>§622, +dotacja na projekt</t>
  </si>
  <si>
    <t>§231</t>
  </si>
  <si>
    <t>Nr strony w opisie wydatków</t>
  </si>
  <si>
    <t>Wybory Prezydenta Rzeczpospolitej Polskiej</t>
  </si>
  <si>
    <t>0680</t>
  </si>
  <si>
    <t>2057</t>
  </si>
  <si>
    <t>2059</t>
  </si>
  <si>
    <t>Współfinansowanie programów i projektów realizowanych ze środków, o których mowa w art. 5 ust. 3 ustawy, z wyłączeniem środków, o których mowa w art. 5 ust. 3 pkt 2, pkt 5 lit. c i d oraz pkt 6 ustawy</t>
  </si>
  <si>
    <t>Dotacje celowe w ramach programów finanansowanych z udziałem środków europejskich oraz środków, o których mowa w art. 5 ust. 1 pkt 3 oraz ust. 3 pkt 5 i 6 ustawy, lub płatności w ramach budżetu środków europejskich, z wyłączeniem doch. klasyf. w par. 205</t>
  </si>
  <si>
    <t>Dotacje celowe w ramach programów finanansowanych z udziałem środków europejskich oraz środków, o których mowa w art. 5 ust. ust. 3 pkt 5 lit. a i b ustawy, lub płatności w ramach budżetu środków europejskich, realizowanych przez jednostki samorządu ter.</t>
  </si>
  <si>
    <t>Wpływy od rodziców z tutułu opłaty za pobyt dziecka w pieczy zastępczej</t>
  </si>
  <si>
    <t>Finansowanie programów i projektów realizowanych ze środków, o których mowa w art. 5 ust. 3 ustawy, z wyłączeniem środków, o których mowa w art. 5 ust. 3 pkt 2, pkt 5 lit. c i d oraz pkt 6 ustawy</t>
  </si>
  <si>
    <t>80149</t>
  </si>
  <si>
    <t>80150</t>
  </si>
  <si>
    <t xml:space="preserve">Realizacja zadań wymagajacych stosowania specjalnej organizacji nauki i metod pracy dla dzieci i młodzieży w szkołach podstawowych, gimnazjach, liceach ogólnokształcących, liceach profilowanych i szkołach zawodowych oraz szkołach artystycznych    </t>
  </si>
  <si>
    <t>90008</t>
  </si>
  <si>
    <t>Ochrona różnorodności biologicznej i krajobrazu</t>
  </si>
  <si>
    <t>- dotacje i subwencje (w tym zwroty dotacji)</t>
  </si>
  <si>
    <t xml:space="preserve">PLAN POCZĄTKOWY </t>
  </si>
  <si>
    <t>par. 620,626,628,629,668</t>
  </si>
  <si>
    <t>200,205,620,626</t>
  </si>
  <si>
    <t>§6210 i 6219</t>
  </si>
  <si>
    <t xml:space="preserve">5. Dotacje inwestycyjne (§6210, 6219 - zakłady budżetowe, §6220 - inne jednostki sektora fp, §6230 - inne jednostki nie zaliczane do sektora fp, §6170 - wpłaty na fundusz celowy, §6570 - dofinansowanie zadań inwestycyjnych obiektów zabytkowych jednostkom niezaliczanym do sektora fp </t>
  </si>
  <si>
    <t>Liceum Ogólnokształcące dla Dorosłych w Świnoujściu Wojewódzkiego Zakładu Doskonalenia Zawodowego</t>
  </si>
  <si>
    <t>Przychody własne</t>
  </si>
  <si>
    <t>- wpływy z usług</t>
  </si>
  <si>
    <t>Zakup książek</t>
  </si>
  <si>
    <t>6.1</t>
  </si>
  <si>
    <t>6.2</t>
  </si>
  <si>
    <t>Środki z UE na dofinansowanie zadań bieżących</t>
  </si>
  <si>
    <t>Sponsoring</t>
  </si>
  <si>
    <t>Podatki, opłaty i składki</t>
  </si>
  <si>
    <t>Sprawny i przyjazny środowisku dostęp do infrastruktury portu w Świnoujściu</t>
  </si>
  <si>
    <t>Budowa systemu parkingowego</t>
  </si>
  <si>
    <t>Budowa infrastruktury związanej z modernizacją węzła przesiadkowego kolejowo - promowo - autobusowego w Świnoujściu</t>
  </si>
  <si>
    <t>Budowa kładki pieszo - rowerowej nad linią kolejową w Łunowie</t>
  </si>
  <si>
    <t>Utworzenie punktu przystankowego turystyki rowerowej, pieszej i wodnej z funkcją placu integracyjno - festynowego w Ognicy</t>
  </si>
  <si>
    <t>Rewitalizacja powojskowych terenów w celu utworzenia Centrum Usług "Mulnik" w Świnoujściu</t>
  </si>
  <si>
    <t>Termomodernizacja obiektów użyteczności publicznej w Świnoujściu</t>
  </si>
  <si>
    <t>Budowa przedszkola integracyjnego przy ul. Bydgoskiej w Świnoujściu</t>
  </si>
  <si>
    <t>Przebudowa boiska przy ul. Białoruskiej w dzielnicy Warszów oraz zagospodarowanie terenów sportowych</t>
  </si>
  <si>
    <t>34.</t>
  </si>
  <si>
    <t>35.</t>
  </si>
  <si>
    <t>Poprawa funkcjonalności stadionu miejskiego w Świnoujściu poprzez budowę infrastruktury lekkoatletycznej</t>
  </si>
  <si>
    <t>36.</t>
  </si>
  <si>
    <t>Budowa infrastruktury sportowej przy Centrum Edukacji Zawodowej i Turystyki przy ul. Gdyńskiej (pływalnia i sala gimnastyczna)</t>
  </si>
  <si>
    <t>Realizacja zadań wymagajacych stosowania specjalnej organizacji nauki i metod pracy dla dzieci w przedszkolach, oddziałach przedszkolnych w szkołach podstawowych i innych formach wychowania przedszkolnego</t>
  </si>
  <si>
    <t>0550</t>
  </si>
  <si>
    <t>Wpływy z opłat z tytułu użytkowania wieczystego nieruchomości</t>
  </si>
  <si>
    <t>71012</t>
  </si>
  <si>
    <t>Zadania z zakresu geodezji i kartografii</t>
  </si>
  <si>
    <t>75619</t>
  </si>
  <si>
    <t>Wpływy z różnych rozliczeń</t>
  </si>
  <si>
    <t>0660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</si>
  <si>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</si>
  <si>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85211</t>
  </si>
  <si>
    <t>2060</t>
  </si>
  <si>
    <t>Świadczenie wychowawcze</t>
  </si>
  <si>
    <t>Wpływy z odsetek od nieterminowych wpłat z tytułu podatków i opłat</t>
  </si>
  <si>
    <t>755</t>
  </si>
  <si>
    <t>75515</t>
  </si>
  <si>
    <t>Wymiar sprawiedliwości</t>
  </si>
  <si>
    <t>0650</t>
  </si>
  <si>
    <t>Wpływy od rodziców z tytułu opłaty za pobyt dziecka w pieczy zastępczej</t>
  </si>
  <si>
    <t>2160</t>
  </si>
  <si>
    <t>Wpływy z opłat za korzystanie z wychowania przedszkolnego</t>
  </si>
  <si>
    <t>wpisać ręcznie par. 617,621,622,623,657</t>
  </si>
  <si>
    <t>§047,0550,075,076,077,087</t>
  </si>
  <si>
    <t>Wpływy z opłat za wydanie prawa jazdy</t>
  </si>
  <si>
    <t>Świadczenia wychowawcze</t>
  </si>
  <si>
    <t>WYMIAR SPRAWIEDLIWOŚCI</t>
  </si>
  <si>
    <t>RÓŻNICA plan</t>
  </si>
  <si>
    <t>RÓŻNICA wykonanie</t>
  </si>
  <si>
    <t>§230</t>
  </si>
  <si>
    <t>Punkt Przedszkolny "Motylek"</t>
  </si>
  <si>
    <t>Społeczne Gimnazjum Społecznego Towarzystwa Szkoły Gimnazjalnej</t>
  </si>
  <si>
    <t>Technikum Zawodowe w Świnoujściu Wojewódzkiego Zakładu Doskonalenia Zawodowego w Szczecinie</t>
  </si>
  <si>
    <t xml:space="preserve">Zasadnicza Szkoła Zawodowa w Świnoujściu Wojewódzkiego Zakładu Doskonalenia Zawodowego w Szczecinie </t>
  </si>
  <si>
    <t>ZLECONE G</t>
  </si>
  <si>
    <t>ZLECONE P</t>
  </si>
  <si>
    <t>WŁASNE G</t>
  </si>
  <si>
    <t>ZLECONE P porozumienia i własne P</t>
  </si>
  <si>
    <t>Inne środki na realizację miejskich imprez kulturalnych</t>
  </si>
  <si>
    <t>Koszty inwestycji</t>
  </si>
  <si>
    <t>- darowizny</t>
  </si>
  <si>
    <t>inne źródła (kary za przetrzymywanie książek)</t>
  </si>
  <si>
    <t>Równowartość umorzenia środków trwałych</t>
  </si>
  <si>
    <t>Zakup usług obcych, w tym remonty</t>
  </si>
  <si>
    <t>Budowa obwodnicy wschodniej łączącej tereny portowe na wyspie Uznam z drogą krajową nr 93 w Świnoujściu</t>
  </si>
  <si>
    <t>Budowa bulwaru wzdłuż Wybrzeża Władysława IV - etap I</t>
  </si>
  <si>
    <t>Wzmocnienie potencjału rozwojowego wyspy Karsibór w oparciu o cenne walory przyrodnicze i kulturowe</t>
  </si>
  <si>
    <t>Modernizacja budynku CAM nr 5</t>
  </si>
  <si>
    <t>Przebudowa boisk przyszkolnych</t>
  </si>
  <si>
    <t>Wykonanie przebudowy wewnętrznych instalacji elektrycznych w obiektach szkół podstawowych na terenie miasta</t>
  </si>
  <si>
    <t>37.</t>
  </si>
  <si>
    <t>38.</t>
  </si>
  <si>
    <t>Budowa punktu selektywnej zbiórki odpadów komunalnych w Świnoujściu</t>
  </si>
  <si>
    <t>39.</t>
  </si>
  <si>
    <t>40.</t>
  </si>
  <si>
    <t>Budowa Centrum Kultury i Sportu przy ul. Matejki</t>
  </si>
  <si>
    <t>41.</t>
  </si>
  <si>
    <t>42.</t>
  </si>
  <si>
    <t>43.</t>
  </si>
  <si>
    <t>ZADANIA BIEŻĄCE GMINY I POWIATU</t>
  </si>
  <si>
    <t>ZADANIA MAJĄTKOWE GMINY I POWIATU</t>
  </si>
  <si>
    <t>Budowa infrastruktury związanej z modernizacją węzła przesiadkowego kolejowo-promowo-autobusowego w Świnoujściu</t>
  </si>
  <si>
    <t>Budowa układu dróg rowerowych w celu umożliwienia dojazdu do węzła przesiadkowego przy ul. Dworcowej/Barlickiego w Świnoujściu</t>
  </si>
  <si>
    <t>Razem wydatki finansowane środkami z UE</t>
  </si>
  <si>
    <t>Razem wydatki finansowane środkami krajowymi</t>
  </si>
  <si>
    <t>Urząd Miasta
 (BTI)</t>
  </si>
  <si>
    <t xml:space="preserve">Nieodpłatna pomoc prawna </t>
  </si>
  <si>
    <t>44.</t>
  </si>
  <si>
    <t>45.</t>
  </si>
  <si>
    <t>§ 962</t>
  </si>
  <si>
    <t>Wpływy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</si>
  <si>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realizację zadań bieżących z zakresu administracji rządowej oraz innych zadań zleconych gminie (związkom gmin, związkom powiatowo - gminnym) ustawami</t>
  </si>
  <si>
    <t>Wpływy z pozostałych odsetek</t>
  </si>
  <si>
    <t>Dotacje celowe w ramach programów finansowanych z udziałem środków europejskich oraz środków, o których mowa w art. 5 ust. 1 pkt 3 oraz ust.3 pkt 5 i 6 ustawy, lub płatności w ramach budżetu środków europejskich, z wyłączeniem dochodów klasyfikowanych w paragrafie 625</t>
  </si>
  <si>
    <t>Wpływy z opłat za trwały zarząd, użytkowanie i służebności</t>
  </si>
  <si>
    <t>Środki na dofinansowanie własnych zadań bieżących gmin, powiatów (związków gmin, związków powiatowo - gminnych, związków powiatów), samorządów województw, pozyskane z innych źródeł</t>
  </si>
  <si>
    <t>Wpływy z podatku od działalności gospodarczej osób fizycznych, opłacanego w formie karty podatkowej</t>
  </si>
  <si>
    <t>Wpływy z podatku od nieruchomości</t>
  </si>
  <si>
    <t>Wpływy z podatku rolnego</t>
  </si>
  <si>
    <t>Wpływy z podatku leśnego</t>
  </si>
  <si>
    <t>Wpływy z podatku od środków transportowych</t>
  </si>
  <si>
    <t>Wpływy z podatku od czynności cywilnoprawnych</t>
  </si>
  <si>
    <t>Wpływy z zaległości z tytułu podatków i opłat zniesionych</t>
  </si>
  <si>
    <t>Wpływy z podatku od spadków i darowizn</t>
  </si>
  <si>
    <t>Wpływy z opłaty od posiadania psów</t>
  </si>
  <si>
    <t>Wpływy z podatku dochodowego od osób prawnych</t>
  </si>
  <si>
    <t>Wpływy z tytułu grzywien, mandatów i innych kar pieniężnych od osób fizycznych</t>
  </si>
  <si>
    <t>Wpływy z tytułu grzywien i innych kar pieniężnych od osób prawnych i innych jednostek organizacyjnych</t>
  </si>
  <si>
    <t>Dotacje celowe otrzymane z budżetu państwa na realizację własnych zadań bieżących gmin (związków gmin, związków powiatowo - gminnych)</t>
  </si>
  <si>
    <t>Dotacje celowe otrzymane z budżetu państwa na zadania bieżącez zakresu administracji rządowej zlecone gminom (związkom gmin, związkom powiatowo-gminnym), zwiazane z realizacją świadczenia wychowawczego stanowiącego pomoc państwa w wychowaniu dzieci</t>
  </si>
  <si>
    <t>Wpływy z odsetek od dotacji oraz płatności: wykorzystanych niezgodnie z przeznaczeniem lub wykorzystanych z naruszeniem procedur, o których mowa w art. 184 ustawy, pobranych nienależnie lub w nadmiernej wysokości</t>
  </si>
  <si>
    <t>Wpływy z otrzymanych spadków, zapisów i darowizn w postaci pieniężnej</t>
  </si>
  <si>
    <t>Dotacje celowe w ramach programów finansowanych z udziałem środków europejskich oraz środków, o których mowa w art. 5 ust. 1 pkt 3 oraz ust.3 pkt 5 i 6 ustawy, lub płatności w ramach budżetu środków europejskich, z wyłaczeniem dochodów klasyfikowanych w paragrafie 625</t>
  </si>
  <si>
    <t>Środki na dofinansowanie własnych inwestycji gmin, powiatów (związków gmin, związków powiatowo - gminnych, związków powiatów), samorządów województw, pozyskane z innych źródeł</t>
  </si>
  <si>
    <t>Dotacje celowe otrzymane z budżetu państwa na zadania bieżące z zakresu administracji rządowej zlecone powiatom, związane z realizacją dodatku wychowawczego oraz dodatku do zryczałtowanej kwoty stanowiących pomoc państwa w wychowywaniu dzieci</t>
  </si>
  <si>
    <t>Finansowanie programów i projektów  ze środków, o których mowa w art. 5 ust. 3 ustawy, z wyłączeniem środków, o których mowa w art. 5 ust. 3 pkt 2, pkt 5 lit. c i d oraz pkt 6 ustawy, oraz z wyłączeniem budżetu środków europejskich</t>
  </si>
  <si>
    <t>Finansowanie programów i projektów realizowanych ze środków, o których mowa w art. 5 ust. 3 ustawy, z wyłączeniem środków, o których mowa w art. 5 ust. 3 pkt 2, pkt 5 lit. c i d oraz pkt 6 ustawy, oraz z wyłączeniem budżetu środków europejskich</t>
  </si>
  <si>
    <t>4. Inne dotacje i subwencje bieżące ( §2300 - wpłaty jednostek na państwowy fundusz celowy,§231-dotacja dla innej gminy,  §2850 - wpłaty na rzecz izb rolniczych, §2900 - wpłaty gmin i powiatów na rzecz innych jednostek, §2960-przelewy redystrybucyjne)</t>
  </si>
  <si>
    <t>Wpływy z wpłat gmin i powiatów na rzecz innych jednostek samorządu terytorialnego oraz związków gmin, związków powiatowo-gminnych lub związków powiatów na dofinansowanie zadań bieżących</t>
  </si>
  <si>
    <t>Szpital Miejski im. Jana Garduły w Świnoujściu                         Sp. z o.o.</t>
  </si>
  <si>
    <t>Przedszkole Niepubliczne "Wiatraczek"</t>
  </si>
  <si>
    <t>Zespół Szkół Morskich - szkoły zawodowe</t>
  </si>
  <si>
    <t>RĘCZNIE</t>
  </si>
  <si>
    <t>§268,065,066,069</t>
  </si>
  <si>
    <t>Opłaty z tytułu zakupu usług telekomunikacyjnych</t>
  </si>
  <si>
    <t xml:space="preserve">Opłaty z tytułu zakupu usług telekomunikacyjnych </t>
  </si>
  <si>
    <t>Wpływy z najmu i dzierżawy składników majątkowych Skarbu 
Państwa, jednostek samorządu terytorialnego lub innych jednostek zaliczanych do sektora finansów publicznych oraz innych umów o podobnym charakterze</t>
  </si>
  <si>
    <t>Środki z UE tytułem refundacji wydatków poniesionych w roku ubiegłym</t>
  </si>
  <si>
    <t>Inne świadczenia na rzecz pracowników</t>
  </si>
  <si>
    <t>0940</t>
  </si>
  <si>
    <t>Wpływy z rozliczeń zwrotów z lat ubiegłych</t>
  </si>
  <si>
    <t>Dotacje celowe w ramach programów finansowanych z udziałem środków europejskich oraz środków, o których mowa w art.. 5 ust.1 pkt 3 oraz ust. 3 pkt 5 i 6 ustawy, lub płatności w ramach budżetu środków europejskich, z wyłączeniem dochodów klasyfikowanych w paragrafie 205</t>
  </si>
  <si>
    <t>0640</t>
  </si>
  <si>
    <t>0950</t>
  </si>
  <si>
    <t>Wpływy z tytułu kar i odszkodowań wynikających z umów</t>
  </si>
  <si>
    <t>Wpływy z tytułu kosztów egzekucyjnych, opłaty komorniczej i kosztów upomnień</t>
  </si>
  <si>
    <t>0630</t>
  </si>
  <si>
    <t>Wpływy z tytułu opłat i kosztów sądowych oraz innych opłat uiszczanych na rzecz Skarbu Państwa z tytułu postępowania sądowego i prokuratorskiego</t>
  </si>
  <si>
    <t>2707</t>
  </si>
  <si>
    <t>Finansowanieprogramów i projektów ze środków, o których mowa w art. 5 ust. 3 ustawy, z wyłączeniem środków, o których mowa w art.. 5 ust. 3 pkt 2, pkt 5 lit. c i d orazpkt 6 ustawy, oraz z wyłączeniem budżetu środków europejskich</t>
  </si>
  <si>
    <t>Finansowanie programów ze środkówbezzwrotnych pochodzących z Unii Europejskiej</t>
  </si>
  <si>
    <t>2950</t>
  </si>
  <si>
    <t>Wpływy ze zwrotów niewykorzystanych dotacji oraz płatności</t>
  </si>
  <si>
    <t>85230</t>
  </si>
  <si>
    <t>Pomoc w zakresie dożywiania</t>
  </si>
  <si>
    <t>855</t>
  </si>
  <si>
    <t>Rodzina</t>
  </si>
  <si>
    <t>85501</t>
  </si>
  <si>
    <t>Dotacje celowe otrzymane z budżetu państwa na zadania bieżące z zakresu administracji rzadowej zlecone gminom (związkom gmin, związkom powiatowo-gminnym), zwiazane z realizacją świadczenia wychowawczego stanowiącego pomoc państwa w wychowywaniu dzieci</t>
  </si>
  <si>
    <t>85503</t>
  </si>
  <si>
    <t>Karta Dużej Rodziny</t>
  </si>
  <si>
    <t>85504</t>
  </si>
  <si>
    <t>85502</t>
  </si>
  <si>
    <t>85505</t>
  </si>
  <si>
    <t>Tworzenie i funkcjonowanie żłobków</t>
  </si>
  <si>
    <t>85508</t>
  </si>
  <si>
    <t>85510</t>
  </si>
  <si>
    <t>Działalność placówek opiekuńczo-wychowawczych</t>
  </si>
  <si>
    <t>Zakłady opiekuńczo-lecznicze i pielęgnacyjno-opiekuńcze</t>
  </si>
  <si>
    <t>RODZINA</t>
  </si>
  <si>
    <t>Wpływy z wpłat gmin i powiatów na rzecz innych jednostek samorzadu terytorialnego oraz związków gmin, związków powiatowo-gminnych lub związków powiatów na dofinansowanie zadań bieżących</t>
  </si>
  <si>
    <r>
      <t xml:space="preserve">Spłaty otrzymanych krajowych pożyczek i kredytów
</t>
    </r>
    <r>
      <rPr>
        <i/>
        <sz val="10"/>
        <rFont val="Times New Roman"/>
        <family val="1"/>
      </rPr>
      <t>w tym:</t>
    </r>
  </si>
  <si>
    <t>§291, 295</t>
  </si>
  <si>
    <t>§063,064,068,074,094,095,096,097,237,240,290,299,668,</t>
  </si>
  <si>
    <t>211,216,641</t>
  </si>
  <si>
    <t>231,630</t>
  </si>
  <si>
    <t>0901</t>
  </si>
  <si>
    <t>0902</t>
  </si>
  <si>
    <t>0903</t>
  </si>
  <si>
    <t>0904</t>
  </si>
  <si>
    <t>0905</t>
  </si>
  <si>
    <t>o</t>
  </si>
  <si>
    <t>czy tu są na pewno zwroty?</t>
  </si>
  <si>
    <t>wg wydruku plan G/P</t>
  </si>
  <si>
    <r>
      <t xml:space="preserve">Wynagrodzenia i składki od nich naliczane </t>
    </r>
    <r>
      <rPr>
        <sz val="9"/>
        <rFont val="Times New Roman"/>
        <family val="1"/>
      </rPr>
      <t>(wraz ze składkami od świadczeń)</t>
    </r>
  </si>
  <si>
    <r>
      <t xml:space="preserve">DOCHODY I WYDATKI ZWIĄZANE Z REALIZACJĄ ZADAŃ WYKONYWANYCH NA PODSTAWIE POROZUMIEŃ (UMÓW) 
MIĘDZY JEDNOSTKAMI SAMORZĄDU TERYTORIALNEGO   
</t>
    </r>
    <r>
      <rPr>
        <sz val="10"/>
        <rFont val="Times New Roman"/>
        <family val="1"/>
      </rPr>
      <t xml:space="preserve">(FINANSOWANE ZADAŃ Z WPŁAT INNYCH JST) </t>
    </r>
  </si>
  <si>
    <t>Pozostałe usługi</t>
  </si>
  <si>
    <t>Usprawnienie połączenia  komunikacyjnego pomiędzy wyspami Uznam i Wolin</t>
  </si>
  <si>
    <t>Budowa układu dróg rowerowych w celu umożliwienia dojazdu do węzła przesiadkowego przy ul. Dworcowej /  Barlickiego w Świnoujściu</t>
  </si>
  <si>
    <t>Przebudowa ulicy 1 Maja wraz z budową ciągu pieszo - rowerowego</t>
  </si>
  <si>
    <t>"Kurort nadmorski Świnoujście" - nowa wizja przestrzeni publicznej</t>
  </si>
  <si>
    <t>Przebudowa ulicy Kościuszki</t>
  </si>
  <si>
    <t>Przebudowa ulicy Jana Pawła II</t>
  </si>
  <si>
    <t>Rozbudowa ulicy Jachtowej</t>
  </si>
  <si>
    <t>Rozbudowa ulicy Sienkiewicza</t>
  </si>
  <si>
    <t>Modernizacja  przystani rybackiej w Karsiborze w celu poprawy bezpieczeństwa rybaków</t>
  </si>
  <si>
    <t>Budowa przystani jachtowej w Świnoujściu - Łunowie w ramach Zachodniopomorskiego Szlaku Żeglarskiego</t>
  </si>
  <si>
    <t>Rewitalizacja Basenu Północnego z przeznaczeniem na port jachtowy w Świnoujściu - III etap</t>
  </si>
  <si>
    <t>Zagospodarowanie działek nr 151 i 155 zlokalizowanych przy ul. Jachtowej na cele rekreacyjne</t>
  </si>
  <si>
    <t>Budowa budynku komunalnego</t>
  </si>
  <si>
    <t>Modernizacja obiektów użyteczności publicznej</t>
  </si>
  <si>
    <t>System monitoringu wizyjnego miasta</t>
  </si>
  <si>
    <t>Wykonanie przebudowy wewnętrznych instalacji elektrycznych w obiektach przedszkolnych na terenie miasta</t>
  </si>
  <si>
    <t>Budowa Zakładu Opieki Długoterminowej</t>
  </si>
  <si>
    <t>Świat Zabaw, Sportu i Rekreacji dla Każdego</t>
  </si>
  <si>
    <t>Rewaloryzacja zabytkowego Parku Zdrojowego w Świnoujściu</t>
  </si>
  <si>
    <t xml:space="preserve">Przebudowa i modernizacja sieci deszczowych na terenie miasta
</t>
  </si>
  <si>
    <t>Zabezpieczenie przeciwpowodziowe Gminy Miasta Świnoujście</t>
  </si>
  <si>
    <t>46.</t>
  </si>
  <si>
    <t>47.</t>
  </si>
  <si>
    <t>48.</t>
  </si>
  <si>
    <t>49.</t>
  </si>
  <si>
    <t>50.</t>
  </si>
  <si>
    <t>Budowa hali sportowej wraz z zapleczem przy ul. Piłsudskiego</t>
  </si>
  <si>
    <t>51.</t>
  </si>
  <si>
    <t>Nazwy zadań inwestycyjnych
 (wg Wieloletniego Planu Inwestycyjnego)</t>
  </si>
  <si>
    <t>Usunięcie nieszczelności i zakotwienie ścianki szczelnej nabrzeża nr 87</t>
  </si>
  <si>
    <t>Montaż ogrodzenia na nabrzeżu nr 91</t>
  </si>
  <si>
    <t>Wykonanie oświetlenia na nabrzeżu nr 91</t>
  </si>
  <si>
    <t>Montaż radarów na promach Bielik                           i Karsibór</t>
  </si>
  <si>
    <t>Przebudowa ulicy Słowackiego w Świnoujściu II etap</t>
  </si>
  <si>
    <t>Budowa infrastruktury związanej z modernizacją węzła przesiadkowego kolejowo – promowo – autobusowego w Świnoujściu</t>
  </si>
  <si>
    <t>Opracowanie polityki transportowej dla Świnoujścia wraz z planem  zrównoważonego rozwoju publicznego transportu zbiorowego</t>
  </si>
  <si>
    <t>Budowa kładki pieszo – rowerowej nad linią kolejową w Łunowie</t>
  </si>
  <si>
    <t>Przebudowa ulicy 1 Maja wraz z budową ciągu pieszo – rowerowego</t>
  </si>
  <si>
    <t>Przygotowanie terenów inwestycyjnych Dzielnicy Nadmorskiej wraz z Forum Kurortu</t>
  </si>
  <si>
    <t>Budowa publicznego ciągu pieszego – przejścia na plażę na przedłużeniu ul. Uzdrowiskowej</t>
  </si>
  <si>
    <t>Modernizacja przystani rybackiej w Karsiborze w celu poprawy bezpieczeństwa rybaków</t>
  </si>
  <si>
    <t>Przebudowa budynku przy ul. Piastowskiej 62</t>
  </si>
  <si>
    <t xml:space="preserve">Aktualizacja bazy danych, prowadzonej w Systemie Informacji Przestrzennej Geo-Info </t>
  </si>
  <si>
    <t>Rewitalizacja powojskowych terenów w celu utworzenia Centrum Usług Mulnik w Świnoujściu</t>
  </si>
  <si>
    <t>Projekt Programu ERASMUS+  pn. "Europejskie Praktyki dla Centrum Edukacji Zawodowej i Turystyki w Świnoujściu"</t>
  </si>
  <si>
    <t>Projekt Programu ERASMUS+  pn. "Youth 4 Earth. Space Without Borders"</t>
  </si>
  <si>
    <t>Adaptacja budynku  internatu SOSW przy ul. Piastowskiej 55 na potrzeby działalności społecznej</t>
  </si>
  <si>
    <t>Audyt dotyczący oświetlenia terenów publicznych</t>
  </si>
  <si>
    <t>Aktualizacja projektu założeń do planu zaopatrzenia w ciepło, en. elektryczną i paliwa gazowe dla miasta Świnoujście</t>
  </si>
  <si>
    <t>Melioracje terenów zurbanizowanych na obszarze Miasta Świnoujście</t>
  </si>
  <si>
    <t>WYDATKI  KTÓRE NIE WYGASŁY Z UPŁYWEM ROKU BUDŻETOWEGO 2016</t>
  </si>
  <si>
    <r>
      <t>Zakład Gospodarki Mieszkaniowej</t>
    </r>
    <r>
      <rPr>
        <sz val="10"/>
        <rFont val="Times New Roman"/>
        <family val="1"/>
      </rPr>
      <t xml:space="preserve">
Dopłata do utrzymania 1m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powierzchni użytkowej komunalnych zasobów mieszkaniowych</t>
    </r>
  </si>
  <si>
    <t>ręcznie</t>
  </si>
  <si>
    <t>Instytucje kultury - organizacja imprez promocyjnych</t>
  </si>
  <si>
    <t>§623</t>
  </si>
  <si>
    <t>DOTACJE Z BUDŻETU MIASTA (WRAZ Z WPŁATAMI NA FUNDUSZ CELOWY)</t>
  </si>
  <si>
    <t>W zestawieniu nie ujmuje się wydatków  związanych ze zwrotem dotacji i subwencji.</t>
  </si>
  <si>
    <t xml:space="preserve"> (w ramach § 2910, §2940 i §6660)</t>
  </si>
  <si>
    <t>Nieodpłatna pomoc prawna</t>
  </si>
  <si>
    <t>Dotacje</t>
  </si>
  <si>
    <t>Pozostałe koszty operacyjne i finansowe</t>
  </si>
  <si>
    <t xml:space="preserve">Wydatki inwestycyjne </t>
  </si>
  <si>
    <t>18.01.2017 r.</t>
  </si>
  <si>
    <t>34/2017</t>
  </si>
  <si>
    <t>30.01.2017 r.</t>
  </si>
  <si>
    <t>64/2017</t>
  </si>
  <si>
    <t>65/2017</t>
  </si>
  <si>
    <t>91/2017</t>
  </si>
  <si>
    <t>13.02.2017 r.</t>
  </si>
  <si>
    <t>22.02.2017 r.</t>
  </si>
  <si>
    <t>111/2017</t>
  </si>
  <si>
    <t>24.02.2017 r.</t>
  </si>
  <si>
    <t>117/2017</t>
  </si>
  <si>
    <t>28.02.2017 r.</t>
  </si>
  <si>
    <t>121/2017</t>
  </si>
  <si>
    <t>07.03.2017 r.</t>
  </si>
  <si>
    <t>134/2017</t>
  </si>
  <si>
    <t>31.03.2017 r.</t>
  </si>
  <si>
    <t>177/2017</t>
  </si>
  <si>
    <t>176/2017</t>
  </si>
  <si>
    <t>30.03.2017 r.</t>
  </si>
  <si>
    <t>XXXV/264/2017</t>
  </si>
  <si>
    <t>07.04.2017 r.</t>
  </si>
  <si>
    <t>193/2017</t>
  </si>
  <si>
    <t>12.04.2017 r.</t>
  </si>
  <si>
    <t>205/2017</t>
  </si>
  <si>
    <t>27.04.2017 r.</t>
  </si>
  <si>
    <t>XXXVII/286/2017</t>
  </si>
  <si>
    <t>226/2017</t>
  </si>
  <si>
    <t>28.04.2017 r.</t>
  </si>
  <si>
    <t>233/2017</t>
  </si>
  <si>
    <t>24.05.2017 r.</t>
  </si>
  <si>
    <t>287/2017</t>
  </si>
  <si>
    <t>26.05.2017 r.</t>
  </si>
  <si>
    <t>304/2017</t>
  </si>
  <si>
    <t>25.05.2017 r.</t>
  </si>
  <si>
    <t>XL/306/2017</t>
  </si>
  <si>
    <t>31.05.2017 r.</t>
  </si>
  <si>
    <t>316/2017</t>
  </si>
  <si>
    <t>317/2017</t>
  </si>
  <si>
    <t>20.06.2017 r.</t>
  </si>
  <si>
    <t>351/2017</t>
  </si>
  <si>
    <t>30.06.2017 r.</t>
  </si>
  <si>
    <t>378/2017</t>
  </si>
  <si>
    <t>379/2017</t>
  </si>
  <si>
    <t>Usprawnienie połączenia komunikacyjnego pomiędzy wyspami Uznam i Wolin - tunel pod Świną</t>
  </si>
  <si>
    <t>Modernizacja sieci deszczowych na terenie miasta Świnoujście - etap I (w ramach zadania - Przebudowa i modernizacja sieci deszczowych na terenie miasta)</t>
  </si>
  <si>
    <t>Transgraniczna Sieć Centrów Usługowo-Doradczych w Euroregionie Pomerania wraz z Powiatem Markisch-Oderland-Interreg VA</t>
  </si>
  <si>
    <t>Urząd Miasta
 (WRG/WK)</t>
  </si>
  <si>
    <t>Urząd Miasta
 (WRG)</t>
  </si>
  <si>
    <t>Sporządzenie Gminnego Programu Rewitalizacji</t>
  </si>
  <si>
    <t>Projekt ERASMUS+ Akcja 2: Partnerstwo Strategiczne, projekt "Młodzież dla Ziemi. Przestrzenie bez granic"</t>
  </si>
  <si>
    <t>Urząd Miasta
 (WE)</t>
  </si>
  <si>
    <t>Prowadzenie mieszkania chronionego dla osób bezdomnych</t>
  </si>
  <si>
    <t>Urząd Miasta
 (WZP)</t>
  </si>
  <si>
    <t>Europejskie Praktyki dla Centrum Edukacji Zawodowej i Turystyki w Świnoujściu</t>
  </si>
  <si>
    <t>Zlecone P</t>
  </si>
  <si>
    <t>Własne P</t>
  </si>
  <si>
    <t>Oświetlenie ulic</t>
  </si>
  <si>
    <t>Zagraniczna mobilność kadry edukacji szkolnej</t>
  </si>
  <si>
    <t xml:space="preserve">Wykonanie wydatków </t>
  </si>
  <si>
    <t>Wpływy z odsetek od dotacji oraz płatności: wykorzystanych niezgodnie z przeznaczeniem lub wykorzystanych z naruszeniem procedur, o których mowaw art.184 ustawy, pobranych nienależnie lub w nadmiernej wysokości</t>
  </si>
  <si>
    <t>Pomoc materialna dla uczniów o charakterze socjalnym</t>
  </si>
  <si>
    <t>Dostępny urząd</t>
  </si>
  <si>
    <t>Podmioty niezaliczane do sektora finansów publicznych na realizację zadań z zakresu ochrony środowiska</t>
  </si>
  <si>
    <t>Usprawnienie połączenia komunikacyjnego pomiędzy wyspami Uznam i Wolin - tunel pod Świną                                                                                                                                      (w ramach zadania "Usprawnienie połączenia komunikacyjnego pomiędzy wyspami Uznam i Wolin")</t>
  </si>
  <si>
    <t>1 - Kurort nadmorski Świnoujście - nowa wizja przestrzeni publicznej - budowa promenady zdrowia
2 - Kurort nadmorski Świnoujście - przebudowa zabytkowej promenady                                                                                                                                                                                       (w ramach zadania "Kurort nadmorski Świnoujście - nowa wizja przestrzeni publicznej")</t>
  </si>
  <si>
    <t>Przedszkole Miejskie nr 3 przy ul. Batalionów Chłopskich - prace inwestycyjne</t>
  </si>
  <si>
    <t>Przedszkole Publiczne nr 1 przy ul. Warszawskiej - prace inwestycyjne</t>
  </si>
  <si>
    <r>
      <rPr>
        <u val="single"/>
        <sz val="10"/>
        <rFont val="Times New Roman"/>
        <family val="1"/>
      </rPr>
      <t>Ośrodek Sportu i Rekreacji "Wyspiarz"</t>
    </r>
    <r>
      <rPr>
        <sz val="10"/>
        <rFont val="Times New Roman"/>
        <family val="1"/>
      </rPr>
      <t xml:space="preserve">
dopłata do kosztów wytworzenia usług rekreacyjno - sportowych:                                                                                                                                                                                                                                       
- Hala sportowa
- Pływalnia
- Obiekty sportowe
- Boisko ze sztuczną nawierzchnią (ul. Białoruska)
- Boisko ze sztuczną nawierzchnią (ul. Matejki 17 a)
- Korty tenisowe
- Basen Północny                                                                                             - Teren rekreacyjny - plaża strzeżona                                                                 -Obiekt lekkoatletyczny</t>
    </r>
  </si>
  <si>
    <t>3. Dotacje celowe na zadania własne i zlecone miasta realizowane przez podmioty należące i nienależące do sektora finansów publicznych (§2320 - inne jst,  §2360 - organizacje prowadzące działalność pożytku publicznego, §2800 - dla pozostałych jednostek zaliczanych do sektora finansów publicznych,§2810 - fundacje, §2820 - stowarzyszenia, §2830 - dla pozostałych jednostek niezaliczanych do sektora finansów publicznych)</t>
  </si>
  <si>
    <t>Dotacje celowe w ramach programów finansowanych z udziałem środków europejskich oraz środków, o których mowa w art. 5 ust. 1 pkt 3 oraz ust.3 pkt 5 i 6 ustawy, lub płatności w ramach budżetu środków europejskich,z wyłączeniem dochodów klasyfikowanych w paragrafie 625</t>
  </si>
  <si>
    <t>Mobilność kadry edukacji szkolnej*</t>
  </si>
  <si>
    <t>*</t>
  </si>
  <si>
    <t>Dysponent środków (ZSM) nieprawidłowo wykazał w sprawozdaniu Rb-28 NWS za II kwartał br. wydane środki własne jako wydatki niewygasające. Powstałej niezgodności nie można skorygować, ponieważ z zgodniez Rozporządzeniem Ministra Finansów w sprawie sprawozdawczości budżetowej korekty sprawozdania Rb- 28 NWS za II kwartał nie sporządza się.</t>
  </si>
  <si>
    <t>Pożyczki udzielone na finansowanie zadań realizowanych z udziałem środków pochodzących               z budżetu Unii Europejskiej</t>
  </si>
  <si>
    <t>et</t>
  </si>
  <si>
    <t>Różnica plan</t>
  </si>
  <si>
    <t>Różnica wykonanie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</si>
</sst>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_ ;\-#,##0\ "/>
    <numFmt numFmtId="166" formatCode="0.0"/>
    <numFmt numFmtId="167" formatCode="#,##0.0\ _z_ł"/>
    <numFmt numFmtId="168" formatCode="#,##0.0"/>
    <numFmt numFmtId="169" formatCode="_-* #,##0.0\ _z_ł_-;\-* #,##0.0\ _z_ł_-;_-* &quot;-&quot;?\ _z_ł_-;_-@_-"/>
    <numFmt numFmtId="170" formatCode="#,##0.00\ _z_ł"/>
    <numFmt numFmtId="171" formatCode="#,##0.00\ &quot;zł&quot;"/>
  </numFmts>
  <fonts count="82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i/>
      <sz val="8"/>
      <name val="Arial CE"/>
      <family val="0"/>
    </font>
    <font>
      <b/>
      <sz val="9"/>
      <name val="Times New Roman"/>
      <family val="1"/>
    </font>
    <font>
      <i/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i/>
      <u val="single"/>
      <sz val="10"/>
      <name val="Times New Roman"/>
      <family val="1"/>
    </font>
    <font>
      <sz val="14"/>
      <name val="Times New Roman"/>
      <family val="1"/>
    </font>
    <font>
      <b/>
      <sz val="6"/>
      <name val="Times New Roman"/>
      <family val="1"/>
    </font>
    <font>
      <vertAlign val="superscript"/>
      <sz val="10"/>
      <name val="Times New Roman"/>
      <family val="1"/>
    </font>
    <font>
      <sz val="9"/>
      <name val="Arial CE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u val="single"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2060"/>
      <name val="Times New Roman"/>
      <family val="1"/>
    </font>
    <font>
      <b/>
      <sz val="10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10"/>
      <color rgb="FF00206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i/>
      <sz val="9"/>
      <color rgb="FFFF0000"/>
      <name val="Times New Roman"/>
      <family val="1"/>
    </font>
    <font>
      <sz val="10"/>
      <color theme="1"/>
      <name val="Times New Roman"/>
      <family val="1"/>
    </font>
    <font>
      <i/>
      <sz val="9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0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/>
      <bottom style="double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/>
      <right style="thin"/>
      <top style="thin"/>
      <bottom style="double"/>
    </border>
    <border>
      <left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27" borderId="1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3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horizontal="right" vertical="center"/>
    </xf>
    <xf numFmtId="49" fontId="5" fillId="33" borderId="13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166" fontId="5" fillId="33" borderId="15" xfId="0" applyNumberFormat="1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1" fontId="6" fillId="33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top"/>
    </xf>
    <xf numFmtId="49" fontId="5" fillId="0" borderId="19" xfId="0" applyNumberFormat="1" applyFont="1" applyFill="1" applyBorder="1" applyAlignment="1">
      <alignment horizontal="center" vertical="top"/>
    </xf>
    <xf numFmtId="49" fontId="5" fillId="0" borderId="19" xfId="0" applyNumberFormat="1" applyFont="1" applyFill="1" applyBorder="1" applyAlignment="1">
      <alignment horizontal="left" vertical="top"/>
    </xf>
    <xf numFmtId="4" fontId="5" fillId="0" borderId="20" xfId="0" applyNumberFormat="1" applyFont="1" applyFill="1" applyBorder="1" applyAlignment="1">
      <alignment horizontal="right" vertical="top"/>
    </xf>
    <xf numFmtId="166" fontId="5" fillId="0" borderId="21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/>
    </xf>
    <xf numFmtId="49" fontId="4" fillId="0" borderId="20" xfId="0" applyNumberFormat="1" applyFont="1" applyFill="1" applyBorder="1" applyAlignment="1">
      <alignment vertical="top" wrapText="1"/>
    </xf>
    <xf numFmtId="4" fontId="4" fillId="0" borderId="20" xfId="0" applyNumberFormat="1" applyFont="1" applyFill="1" applyBorder="1" applyAlignment="1">
      <alignment horizontal="right" vertical="top"/>
    </xf>
    <xf numFmtId="166" fontId="4" fillId="0" borderId="21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49" fontId="7" fillId="0" borderId="18" xfId="0" applyNumberFormat="1" applyFont="1" applyFill="1" applyBorder="1" applyAlignment="1">
      <alignment horizontal="center" vertical="top"/>
    </xf>
    <xf numFmtId="49" fontId="7" fillId="0" borderId="20" xfId="0" applyNumberFormat="1" applyFont="1" applyFill="1" applyBorder="1" applyAlignment="1">
      <alignment horizontal="center" vertical="top"/>
    </xf>
    <xf numFmtId="49" fontId="7" fillId="0" borderId="20" xfId="0" applyNumberFormat="1" applyFont="1" applyFill="1" applyBorder="1" applyAlignment="1">
      <alignment vertical="top" wrapText="1"/>
    </xf>
    <xf numFmtId="4" fontId="7" fillId="0" borderId="22" xfId="0" applyNumberFormat="1" applyFont="1" applyFill="1" applyBorder="1" applyAlignment="1">
      <alignment vertical="top"/>
    </xf>
    <xf numFmtId="166" fontId="7" fillId="0" borderId="23" xfId="0" applyNumberFormat="1" applyFont="1" applyFill="1" applyBorder="1" applyAlignment="1">
      <alignment horizontal="right" vertical="top"/>
    </xf>
    <xf numFmtId="0" fontId="7" fillId="0" borderId="0" xfId="0" applyFont="1" applyAlignment="1">
      <alignment vertical="top"/>
    </xf>
    <xf numFmtId="49" fontId="7" fillId="0" borderId="19" xfId="0" applyNumberFormat="1" applyFont="1" applyFill="1" applyBorder="1" applyAlignment="1">
      <alignment horizontal="center" vertical="top"/>
    </xf>
    <xf numFmtId="0" fontId="7" fillId="0" borderId="20" xfId="0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vertical="top" wrapText="1"/>
    </xf>
    <xf numFmtId="4" fontId="7" fillId="0" borderId="20" xfId="0" applyNumberFormat="1" applyFont="1" applyFill="1" applyBorder="1" applyAlignment="1">
      <alignment horizontal="right" vertical="top"/>
    </xf>
    <xf numFmtId="166" fontId="7" fillId="0" borderId="21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center" vertical="top"/>
    </xf>
    <xf numFmtId="49" fontId="5" fillId="0" borderId="20" xfId="0" applyNumberFormat="1" applyFont="1" applyFill="1" applyBorder="1" applyAlignment="1">
      <alignment horizontal="center" vertical="top"/>
    </xf>
    <xf numFmtId="49" fontId="5" fillId="0" borderId="20" xfId="0" applyNumberFormat="1" applyFont="1" applyFill="1" applyBorder="1" applyAlignment="1">
      <alignment vertical="top"/>
    </xf>
    <xf numFmtId="4" fontId="5" fillId="0" borderId="2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49" fontId="4" fillId="0" borderId="20" xfId="0" applyNumberFormat="1" applyFont="1" applyFill="1" applyBorder="1" applyAlignment="1">
      <alignment horizontal="center" vertical="top"/>
    </xf>
    <xf numFmtId="49" fontId="4" fillId="0" borderId="20" xfId="0" applyNumberFormat="1" applyFont="1" applyFill="1" applyBorder="1" applyAlignment="1">
      <alignment vertical="top"/>
    </xf>
    <xf numFmtId="4" fontId="4" fillId="0" borderId="20" xfId="0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49" fontId="7" fillId="0" borderId="20" xfId="0" applyNumberFormat="1" applyFont="1" applyFill="1" applyBorder="1" applyAlignment="1">
      <alignment vertical="top"/>
    </xf>
    <xf numFmtId="4" fontId="7" fillId="0" borderId="20" xfId="0" applyNumberFormat="1" applyFont="1" applyFill="1" applyBorder="1" applyAlignment="1">
      <alignment vertical="top"/>
    </xf>
    <xf numFmtId="49" fontId="5" fillId="0" borderId="20" xfId="0" applyNumberFormat="1" applyFont="1" applyFill="1" applyBorder="1" applyAlignment="1">
      <alignment vertical="top" wrapText="1"/>
    </xf>
    <xf numFmtId="4" fontId="4" fillId="0" borderId="22" xfId="0" applyNumberFormat="1" applyFont="1" applyFill="1" applyBorder="1" applyAlignment="1">
      <alignment vertical="top"/>
    </xf>
    <xf numFmtId="166" fontId="4" fillId="0" borderId="23" xfId="0" applyNumberFormat="1" applyFont="1" applyFill="1" applyBorder="1" applyAlignment="1">
      <alignment horizontal="right" vertical="top"/>
    </xf>
    <xf numFmtId="49" fontId="7" fillId="0" borderId="2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vertical="top"/>
    </xf>
    <xf numFmtId="4" fontId="5" fillId="0" borderId="20" xfId="0" applyNumberFormat="1" applyFont="1" applyBorder="1" applyAlignment="1">
      <alignment vertical="top"/>
    </xf>
    <xf numFmtId="166" fontId="5" fillId="0" borderId="23" xfId="0" applyNumberFormat="1" applyFont="1" applyFill="1" applyBorder="1" applyAlignment="1">
      <alignment horizontal="right" vertical="top"/>
    </xf>
    <xf numFmtId="4" fontId="4" fillId="0" borderId="20" xfId="0" applyNumberFormat="1" applyFont="1" applyBorder="1" applyAlignment="1">
      <alignment vertical="top"/>
    </xf>
    <xf numFmtId="49" fontId="7" fillId="0" borderId="22" xfId="0" applyNumberFormat="1" applyFont="1" applyFill="1" applyBorder="1" applyAlignment="1">
      <alignment horizontal="center" vertical="top"/>
    </xf>
    <xf numFmtId="49" fontId="7" fillId="0" borderId="19" xfId="0" applyNumberFormat="1" applyFont="1" applyBorder="1" applyAlignment="1">
      <alignment vertical="top" wrapText="1"/>
    </xf>
    <xf numFmtId="49" fontId="7" fillId="0" borderId="18" xfId="0" applyNumberFormat="1" applyFont="1" applyBorder="1" applyAlignment="1">
      <alignment horizontal="center" vertical="top"/>
    </xf>
    <xf numFmtId="49" fontId="7" fillId="0" borderId="20" xfId="0" applyNumberFormat="1" applyFont="1" applyBorder="1" applyAlignment="1">
      <alignment horizontal="center" vertical="top"/>
    </xf>
    <xf numFmtId="4" fontId="7" fillId="0" borderId="20" xfId="0" applyNumberFormat="1" applyFont="1" applyBorder="1" applyAlignment="1">
      <alignment vertical="top"/>
    </xf>
    <xf numFmtId="49" fontId="4" fillId="0" borderId="22" xfId="0" applyNumberFormat="1" applyFont="1" applyFill="1" applyBorder="1" applyAlignment="1">
      <alignment horizontal="center" vertical="top"/>
    </xf>
    <xf numFmtId="49" fontId="7" fillId="0" borderId="20" xfId="0" applyNumberFormat="1" applyFont="1" applyFill="1" applyBorder="1" applyAlignment="1">
      <alignment horizontal="center" vertical="top" wrapText="1"/>
    </xf>
    <xf numFmtId="4" fontId="7" fillId="0" borderId="19" xfId="0" applyNumberFormat="1" applyFont="1" applyFill="1" applyBorder="1" applyAlignment="1">
      <alignment vertical="top"/>
    </xf>
    <xf numFmtId="49" fontId="7" fillId="0" borderId="19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vertical="top" wrapText="1"/>
    </xf>
    <xf numFmtId="0" fontId="4" fillId="0" borderId="20" xfId="0" applyFont="1" applyBorder="1" applyAlignment="1">
      <alignment horizontal="center" vertical="top"/>
    </xf>
    <xf numFmtId="49" fontId="4" fillId="0" borderId="20" xfId="0" applyNumberFormat="1" applyFont="1" applyBorder="1" applyAlignment="1">
      <alignment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top"/>
    </xf>
    <xf numFmtId="49" fontId="5" fillId="0" borderId="20" xfId="0" applyNumberFormat="1" applyFont="1" applyBorder="1" applyAlignment="1">
      <alignment vertical="top"/>
    </xf>
    <xf numFmtId="49" fontId="7" fillId="0" borderId="20" xfId="0" applyNumberFormat="1" applyFont="1" applyBorder="1" applyAlignment="1">
      <alignment vertical="top"/>
    </xf>
    <xf numFmtId="49" fontId="7" fillId="34" borderId="20" xfId="0" applyNumberFormat="1" applyFont="1" applyFill="1" applyBorder="1" applyAlignment="1">
      <alignment horizontal="center" vertical="top"/>
    </xf>
    <xf numFmtId="49" fontId="71" fillId="0" borderId="0" xfId="0" applyNumberFormat="1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4" fontId="72" fillId="0" borderId="0" xfId="0" applyNumberFormat="1" applyFont="1" applyAlignment="1">
      <alignment vertical="center"/>
    </xf>
    <xf numFmtId="4" fontId="71" fillId="0" borderId="20" xfId="0" applyNumberFormat="1" applyFont="1" applyBorder="1" applyAlignment="1">
      <alignment vertical="center"/>
    </xf>
    <xf numFmtId="0" fontId="71" fillId="0" borderId="18" xfId="0" applyFont="1" applyBorder="1" applyAlignment="1">
      <alignment horizontal="center" vertical="center"/>
    </xf>
    <xf numFmtId="4" fontId="71" fillId="0" borderId="22" xfId="0" applyNumberFormat="1" applyFont="1" applyBorder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4" fontId="71" fillId="0" borderId="0" xfId="0" applyNumberFormat="1" applyFont="1" applyAlignment="1">
      <alignment vertical="center"/>
    </xf>
    <xf numFmtId="167" fontId="71" fillId="0" borderId="24" xfId="0" applyNumberFormat="1" applyFont="1" applyBorder="1" applyAlignment="1">
      <alignment horizontal="right" vertical="center"/>
    </xf>
    <xf numFmtId="0" fontId="72" fillId="0" borderId="25" xfId="0" applyFont="1" applyBorder="1" applyAlignment="1">
      <alignment horizontal="center" vertical="center"/>
    </xf>
    <xf numFmtId="49" fontId="71" fillId="0" borderId="24" xfId="0" applyNumberFormat="1" applyFont="1" applyBorder="1" applyAlignment="1">
      <alignment vertical="center" wrapText="1"/>
    </xf>
    <xf numFmtId="4" fontId="71" fillId="0" borderId="24" xfId="0" applyNumberFormat="1" applyFont="1" applyBorder="1" applyAlignment="1">
      <alignment vertical="center"/>
    </xf>
    <xf numFmtId="169" fontId="71" fillId="0" borderId="26" xfId="0" applyNumberFormat="1" applyFont="1" applyBorder="1" applyAlignment="1">
      <alignment vertical="center"/>
    </xf>
    <xf numFmtId="0" fontId="71" fillId="0" borderId="0" xfId="0" applyFont="1" applyAlignment="1">
      <alignment horizontal="right" vertical="center"/>
    </xf>
    <xf numFmtId="39" fontId="71" fillId="0" borderId="0" xfId="0" applyNumberFormat="1" applyFont="1" applyAlignment="1">
      <alignment vertical="center"/>
    </xf>
    <xf numFmtId="0" fontId="71" fillId="0" borderId="0" xfId="0" applyFont="1" applyFill="1" applyAlignment="1">
      <alignment/>
    </xf>
    <xf numFmtId="4" fontId="71" fillId="0" borderId="0" xfId="0" applyNumberFormat="1" applyFont="1" applyFill="1" applyAlignment="1">
      <alignment/>
    </xf>
    <xf numFmtId="4" fontId="71" fillId="35" borderId="0" xfId="0" applyNumberFormat="1" applyFont="1" applyFill="1" applyAlignment="1">
      <alignment/>
    </xf>
    <xf numFmtId="0" fontId="72" fillId="0" borderId="0" xfId="0" applyFont="1" applyFill="1" applyAlignment="1">
      <alignment/>
    </xf>
    <xf numFmtId="0" fontId="71" fillId="0" borderId="0" xfId="0" applyFont="1" applyAlignment="1">
      <alignment horizontal="center" vertical="center"/>
    </xf>
    <xf numFmtId="0" fontId="71" fillId="0" borderId="27" xfId="0" applyFont="1" applyBorder="1" applyAlignment="1">
      <alignment horizontal="center" vertical="center"/>
    </xf>
    <xf numFmtId="0" fontId="71" fillId="0" borderId="28" xfId="0" applyFont="1" applyBorder="1" applyAlignment="1">
      <alignment horizontal="center" vertical="center"/>
    </xf>
    <xf numFmtId="168" fontId="71" fillId="0" borderId="29" xfId="0" applyNumberFormat="1" applyFont="1" applyBorder="1" applyAlignment="1">
      <alignment horizontal="right" vertical="center"/>
    </xf>
    <xf numFmtId="0" fontId="71" fillId="0" borderId="30" xfId="0" applyFont="1" applyBorder="1" applyAlignment="1">
      <alignment horizontal="center" vertical="center"/>
    </xf>
    <xf numFmtId="0" fontId="71" fillId="0" borderId="31" xfId="0" applyFont="1" applyBorder="1" applyAlignment="1">
      <alignment vertical="center" wrapText="1"/>
    </xf>
    <xf numFmtId="4" fontId="71" fillId="0" borderId="32" xfId="0" applyNumberFormat="1" applyFont="1" applyBorder="1" applyAlignment="1">
      <alignment horizontal="right" vertical="center"/>
    </xf>
    <xf numFmtId="0" fontId="71" fillId="0" borderId="33" xfId="0" applyFont="1" applyBorder="1" applyAlignment="1">
      <alignment horizontal="center" vertical="center"/>
    </xf>
    <xf numFmtId="168" fontId="71" fillId="0" borderId="26" xfId="0" applyNumberFormat="1" applyFont="1" applyBorder="1" applyAlignment="1">
      <alignment horizontal="right" vertical="center"/>
    </xf>
    <xf numFmtId="4" fontId="71" fillId="0" borderId="0" xfId="0" applyNumberFormat="1" applyFont="1" applyAlignment="1">
      <alignment horizontal="center" vertical="center"/>
    </xf>
    <xf numFmtId="4" fontId="71" fillId="0" borderId="0" xfId="0" applyNumberFormat="1" applyFont="1" applyAlignment="1">
      <alignment horizontal="right" vertical="center"/>
    </xf>
    <xf numFmtId="4" fontId="72" fillId="0" borderId="0" xfId="0" applyNumberFormat="1" applyFont="1" applyAlignment="1">
      <alignment horizontal="center" vertical="center"/>
    </xf>
    <xf numFmtId="4" fontId="72" fillId="0" borderId="0" xfId="0" applyNumberFormat="1" applyFont="1" applyAlignment="1">
      <alignment horizontal="right" vertical="center"/>
    </xf>
    <xf numFmtId="0" fontId="71" fillId="0" borderId="0" xfId="0" applyFont="1" applyFill="1" applyAlignment="1">
      <alignment vertical="center"/>
    </xf>
    <xf numFmtId="0" fontId="71" fillId="0" borderId="20" xfId="0" applyFont="1" applyBorder="1" applyAlignment="1">
      <alignment vertical="center" wrapText="1"/>
    </xf>
    <xf numFmtId="0" fontId="71" fillId="0" borderId="0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168" fontId="72" fillId="35" borderId="26" xfId="0" applyNumberFormat="1" applyFont="1" applyFill="1" applyBorder="1" applyAlignment="1">
      <alignment vertical="center"/>
    </xf>
    <xf numFmtId="0" fontId="71" fillId="36" borderId="0" xfId="0" applyFont="1" applyFill="1" applyAlignment="1">
      <alignment vertical="center"/>
    </xf>
    <xf numFmtId="0" fontId="72" fillId="36" borderId="0" xfId="0" applyFont="1" applyFill="1" applyAlignment="1">
      <alignment vertical="center"/>
    </xf>
    <xf numFmtId="168" fontId="71" fillId="0" borderId="23" xfId="0" applyNumberFormat="1" applyFont="1" applyBorder="1" applyAlignment="1">
      <alignment vertical="center"/>
    </xf>
    <xf numFmtId="168" fontId="71" fillId="0" borderId="23" xfId="0" applyNumberFormat="1" applyFont="1" applyBorder="1" applyAlignment="1">
      <alignment horizontal="right" vertical="center"/>
    </xf>
    <xf numFmtId="0" fontId="71" fillId="0" borderId="18" xfId="0" applyFont="1" applyFill="1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0" fontId="71" fillId="0" borderId="22" xfId="0" applyFont="1" applyBorder="1" applyAlignment="1">
      <alignment vertical="center" wrapText="1"/>
    </xf>
    <xf numFmtId="0" fontId="72" fillId="37" borderId="34" xfId="0" applyFont="1" applyFill="1" applyBorder="1" applyAlignment="1">
      <alignment horizontal="center" vertical="center"/>
    </xf>
    <xf numFmtId="168" fontId="72" fillId="37" borderId="23" xfId="0" applyNumberFormat="1" applyFont="1" applyFill="1" applyBorder="1" applyAlignment="1">
      <alignment horizontal="center" vertical="center"/>
    </xf>
    <xf numFmtId="0" fontId="71" fillId="38" borderId="20" xfId="0" applyFont="1" applyFill="1" applyBorder="1" applyAlignment="1">
      <alignment vertical="center"/>
    </xf>
    <xf numFmtId="0" fontId="71" fillId="0" borderId="34" xfId="0" applyFont="1" applyBorder="1" applyAlignment="1">
      <alignment horizontal="center" vertical="center"/>
    </xf>
    <xf numFmtId="0" fontId="71" fillId="0" borderId="22" xfId="0" applyFont="1" applyBorder="1" applyAlignment="1">
      <alignment horizontal="center" vertical="center"/>
    </xf>
    <xf numFmtId="0" fontId="71" fillId="0" borderId="22" xfId="0" applyFont="1" applyBorder="1" applyAlignment="1">
      <alignment vertical="center"/>
    </xf>
    <xf numFmtId="4" fontId="71" fillId="0" borderId="22" xfId="0" applyNumberFormat="1" applyFont="1" applyBorder="1" applyAlignment="1">
      <alignment horizontal="right" vertical="center"/>
    </xf>
    <xf numFmtId="0" fontId="74" fillId="0" borderId="34" xfId="0" applyFont="1" applyBorder="1" applyAlignment="1">
      <alignment horizontal="center" vertical="center"/>
    </xf>
    <xf numFmtId="4" fontId="74" fillId="0" borderId="22" xfId="0" applyNumberFormat="1" applyFont="1" applyBorder="1" applyAlignment="1">
      <alignment horizontal="right" vertical="center"/>
    </xf>
    <xf numFmtId="0" fontId="71" fillId="0" borderId="35" xfId="0" applyFont="1" applyBorder="1" applyAlignment="1">
      <alignment horizontal="center" vertical="center"/>
    </xf>
    <xf numFmtId="4" fontId="71" fillId="0" borderId="24" xfId="0" applyNumberFormat="1" applyFont="1" applyBorder="1" applyAlignment="1">
      <alignment horizontal="right" vertical="center"/>
    </xf>
    <xf numFmtId="4" fontId="72" fillId="35" borderId="36" xfId="0" applyNumberFormat="1" applyFont="1" applyFill="1" applyBorder="1" applyAlignment="1">
      <alignment horizontal="right" vertical="center"/>
    </xf>
    <xf numFmtId="0" fontId="71" fillId="0" borderId="24" xfId="0" applyFont="1" applyBorder="1" applyAlignment="1">
      <alignment vertical="center"/>
    </xf>
    <xf numFmtId="0" fontId="72" fillId="37" borderId="24" xfId="0" applyFont="1" applyFill="1" applyBorder="1" applyAlignment="1">
      <alignment vertical="center" wrapText="1"/>
    </xf>
    <xf numFmtId="4" fontId="72" fillId="37" borderId="22" xfId="0" applyNumberFormat="1" applyFont="1" applyFill="1" applyBorder="1" applyAlignment="1">
      <alignment horizontal="right" vertical="center"/>
    </xf>
    <xf numFmtId="164" fontId="71" fillId="0" borderId="0" xfId="0" applyNumberFormat="1" applyFont="1" applyAlignment="1">
      <alignment horizontal="right" vertical="center"/>
    </xf>
    <xf numFmtId="168" fontId="71" fillId="0" borderId="0" xfId="0" applyNumberFormat="1" applyFont="1" applyAlignment="1">
      <alignment horizontal="right" vertical="center"/>
    </xf>
    <xf numFmtId="49" fontId="74" fillId="0" borderId="22" xfId="0" applyNumberFormat="1" applyFont="1" applyBorder="1" applyAlignment="1">
      <alignment vertical="center"/>
    </xf>
    <xf numFmtId="168" fontId="74" fillId="0" borderId="23" xfId="0" applyNumberFormat="1" applyFont="1" applyBorder="1" applyAlignment="1">
      <alignment horizontal="right" vertical="center"/>
    </xf>
    <xf numFmtId="49" fontId="71" fillId="0" borderId="24" xfId="0" applyNumberFormat="1" applyFont="1" applyBorder="1" applyAlignment="1">
      <alignment vertical="center"/>
    </xf>
    <xf numFmtId="168" fontId="72" fillId="35" borderId="37" xfId="0" applyNumberFormat="1" applyFont="1" applyFill="1" applyBorder="1" applyAlignment="1">
      <alignment horizontal="right" vertical="center"/>
    </xf>
    <xf numFmtId="4" fontId="71" fillId="0" borderId="31" xfId="0" applyNumberFormat="1" applyFont="1" applyBorder="1" applyAlignment="1">
      <alignment horizontal="right" vertical="center"/>
    </xf>
    <xf numFmtId="168" fontId="71" fillId="0" borderId="38" xfId="0" applyNumberFormat="1" applyFont="1" applyBorder="1" applyAlignment="1">
      <alignment horizontal="right" vertical="center"/>
    </xf>
    <xf numFmtId="4" fontId="72" fillId="39" borderId="22" xfId="0" applyNumberFormat="1" applyFont="1" applyFill="1" applyBorder="1" applyAlignment="1">
      <alignment horizontal="right" vertical="center"/>
    </xf>
    <xf numFmtId="4" fontId="72" fillId="35" borderId="24" xfId="0" applyNumberFormat="1" applyFont="1" applyFill="1" applyBorder="1" applyAlignment="1">
      <alignment horizontal="right" vertical="center"/>
    </xf>
    <xf numFmtId="4" fontId="5" fillId="0" borderId="22" xfId="0" applyNumberFormat="1" applyFont="1" applyFill="1" applyBorder="1" applyAlignment="1">
      <alignment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49" fontId="7" fillId="0" borderId="34" xfId="0" applyNumberFormat="1" applyFont="1" applyBorder="1" applyAlignment="1">
      <alignment horizontal="center" vertical="top"/>
    </xf>
    <xf numFmtId="49" fontId="7" fillId="0" borderId="22" xfId="0" applyNumberFormat="1" applyFont="1" applyBorder="1" applyAlignment="1">
      <alignment horizontal="center" vertical="top"/>
    </xf>
    <xf numFmtId="49" fontId="7" fillId="0" borderId="22" xfId="0" applyNumberFormat="1" applyFont="1" applyBorder="1" applyAlignment="1">
      <alignment vertical="top"/>
    </xf>
    <xf numFmtId="4" fontId="7" fillId="0" borderId="22" xfId="0" applyNumberFormat="1" applyFont="1" applyBorder="1" applyAlignment="1">
      <alignment vertical="top"/>
    </xf>
    <xf numFmtId="49" fontId="4" fillId="0" borderId="19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vertical="top"/>
    </xf>
    <xf numFmtId="4" fontId="4" fillId="0" borderId="19" xfId="0" applyNumberFormat="1" applyFont="1" applyBorder="1" applyAlignment="1">
      <alignment vertical="top"/>
    </xf>
    <xf numFmtId="4" fontId="5" fillId="40" borderId="12" xfId="0" applyNumberFormat="1" applyFont="1" applyFill="1" applyBorder="1" applyAlignment="1">
      <alignment horizontal="right" vertical="center"/>
    </xf>
    <xf numFmtId="166" fontId="5" fillId="40" borderId="15" xfId="0" applyNumberFormat="1" applyFont="1" applyFill="1" applyBorder="1" applyAlignment="1">
      <alignment horizontal="right" vertical="center"/>
    </xf>
    <xf numFmtId="0" fontId="8" fillId="37" borderId="0" xfId="0" applyFont="1" applyFill="1" applyAlignment="1">
      <alignment horizontal="center" vertical="center"/>
    </xf>
    <xf numFmtId="0" fontId="5" fillId="37" borderId="0" xfId="0" applyFont="1" applyFill="1" applyAlignment="1">
      <alignment horizontal="center" vertical="center"/>
    </xf>
    <xf numFmtId="166" fontId="7" fillId="0" borderId="21" xfId="0" applyNumberFormat="1" applyFont="1" applyBorder="1" applyAlignment="1">
      <alignment horizontal="right" vertical="top"/>
    </xf>
    <xf numFmtId="49" fontId="4" fillId="0" borderId="20" xfId="0" applyNumberFormat="1" applyFont="1" applyBorder="1" applyAlignment="1">
      <alignment horizontal="center" vertical="top" wrapText="1"/>
    </xf>
    <xf numFmtId="166" fontId="4" fillId="0" borderId="21" xfId="0" applyNumberFormat="1" applyFont="1" applyBorder="1" applyAlignment="1">
      <alignment horizontal="right" vertical="top"/>
    </xf>
    <xf numFmtId="166" fontId="5" fillId="0" borderId="21" xfId="0" applyNumberFormat="1" applyFont="1" applyBorder="1" applyAlignment="1">
      <alignment horizontal="right" vertical="top"/>
    </xf>
    <xf numFmtId="49" fontId="5" fillId="0" borderId="18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49" fontId="5" fillId="0" borderId="20" xfId="0" applyNumberFormat="1" applyFont="1" applyBorder="1" applyAlignment="1">
      <alignment vertical="top" wrapText="1"/>
    </xf>
    <xf numFmtId="49" fontId="10" fillId="0" borderId="18" xfId="0" applyNumberFormat="1" applyFont="1" applyBorder="1" applyAlignment="1">
      <alignment horizontal="center" vertical="top"/>
    </xf>
    <xf numFmtId="49" fontId="10" fillId="0" borderId="20" xfId="0" applyNumberFormat="1" applyFont="1" applyBorder="1" applyAlignment="1">
      <alignment horizontal="center" vertical="top"/>
    </xf>
    <xf numFmtId="49" fontId="7" fillId="0" borderId="19" xfId="0" applyNumberFormat="1" applyFont="1" applyBorder="1" applyAlignment="1">
      <alignment horizontal="center" vertical="top"/>
    </xf>
    <xf numFmtId="49" fontId="7" fillId="0" borderId="22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4" fontId="7" fillId="0" borderId="20" xfId="0" applyNumberFormat="1" applyFont="1" applyBorder="1" applyAlignment="1">
      <alignment vertical="top" wrapText="1"/>
    </xf>
    <xf numFmtId="4" fontId="7" fillId="0" borderId="19" xfId="0" applyNumberFormat="1" applyFont="1" applyBorder="1" applyAlignment="1">
      <alignment vertical="top"/>
    </xf>
    <xf numFmtId="49" fontId="4" fillId="0" borderId="19" xfId="0" applyNumberFormat="1" applyFont="1" applyBorder="1" applyAlignment="1">
      <alignment vertical="top" wrapText="1"/>
    </xf>
    <xf numFmtId="0" fontId="4" fillId="0" borderId="19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" fontId="7" fillId="0" borderId="0" xfId="0" applyNumberFormat="1" applyFont="1" applyBorder="1" applyAlignment="1">
      <alignment vertical="top"/>
    </xf>
    <xf numFmtId="49" fontId="4" fillId="0" borderId="22" xfId="0" applyNumberFormat="1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vertical="top" wrapText="1"/>
    </xf>
    <xf numFmtId="4" fontId="4" fillId="0" borderId="22" xfId="0" applyNumberFormat="1" applyFont="1" applyBorder="1" applyAlignment="1">
      <alignment vertical="top"/>
    </xf>
    <xf numFmtId="0" fontId="10" fillId="0" borderId="0" xfId="0" applyFont="1" applyAlignment="1">
      <alignment vertical="top"/>
    </xf>
    <xf numFmtId="0" fontId="4" fillId="0" borderId="20" xfId="0" applyFont="1" applyFill="1" applyBorder="1" applyAlignment="1">
      <alignment vertical="top" wrapText="1"/>
    </xf>
    <xf numFmtId="0" fontId="8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49" fontId="5" fillId="0" borderId="20" xfId="0" applyNumberFormat="1" applyFont="1" applyBorder="1" applyAlignment="1">
      <alignment horizontal="center" vertical="top" wrapText="1"/>
    </xf>
    <xf numFmtId="49" fontId="7" fillId="0" borderId="22" xfId="0" applyNumberFormat="1" applyFont="1" applyBorder="1" applyAlignment="1">
      <alignment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34" xfId="0" applyNumberFormat="1" applyFont="1" applyBorder="1" applyAlignment="1">
      <alignment horizontal="center" vertical="top"/>
    </xf>
    <xf numFmtId="49" fontId="4" fillId="0" borderId="22" xfId="0" applyNumberFormat="1" applyFont="1" applyBorder="1" applyAlignment="1">
      <alignment vertical="top"/>
    </xf>
    <xf numFmtId="166" fontId="10" fillId="0" borderId="21" xfId="0" applyNumberFormat="1" applyFont="1" applyFill="1" applyBorder="1" applyAlignment="1">
      <alignment horizontal="right" vertical="top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vertical="top" wrapText="1"/>
    </xf>
    <xf numFmtId="49" fontId="4" fillId="0" borderId="30" xfId="0" applyNumberFormat="1" applyFont="1" applyBorder="1" applyAlignment="1">
      <alignment horizontal="center" vertical="top"/>
    </xf>
    <xf numFmtId="49" fontId="4" fillId="0" borderId="31" xfId="0" applyNumberFormat="1" applyFont="1" applyBorder="1" applyAlignment="1">
      <alignment horizontal="center" vertical="top"/>
    </xf>
    <xf numFmtId="49" fontId="7" fillId="0" borderId="31" xfId="0" applyNumberFormat="1" applyFont="1" applyBorder="1" applyAlignment="1">
      <alignment horizontal="center" vertical="top"/>
    </xf>
    <xf numFmtId="49" fontId="7" fillId="0" borderId="31" xfId="0" applyNumberFormat="1" applyFont="1" applyBorder="1" applyAlignment="1">
      <alignment vertical="top" wrapText="1"/>
    </xf>
    <xf numFmtId="4" fontId="7" fillId="0" borderId="31" xfId="0" applyNumberFormat="1" applyFont="1" applyBorder="1" applyAlignment="1">
      <alignment vertical="top"/>
    </xf>
    <xf numFmtId="166" fontId="7" fillId="0" borderId="38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49" fontId="4" fillId="0" borderId="22" xfId="0" applyNumberFormat="1" applyFont="1" applyFill="1" applyBorder="1" applyAlignment="1">
      <alignment vertical="top"/>
    </xf>
    <xf numFmtId="49" fontId="5" fillId="0" borderId="22" xfId="0" applyNumberFormat="1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4" fontId="4" fillId="0" borderId="19" xfId="0" applyNumberFormat="1" applyFont="1" applyFill="1" applyBorder="1" applyAlignment="1">
      <alignment vertical="top"/>
    </xf>
    <xf numFmtId="0" fontId="5" fillId="0" borderId="19" xfId="0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vertical="top"/>
    </xf>
    <xf numFmtId="49" fontId="5" fillId="0" borderId="18" xfId="0" applyNumberFormat="1" applyFont="1" applyFill="1" applyBorder="1" applyAlignment="1">
      <alignment horizontal="center" vertical="top" wrapText="1"/>
    </xf>
    <xf numFmtId="49" fontId="7" fillId="38" borderId="20" xfId="0" applyNumberFormat="1" applyFont="1" applyFill="1" applyBorder="1" applyAlignment="1">
      <alignment vertical="top" wrapText="1"/>
    </xf>
    <xf numFmtId="4" fontId="5" fillId="40" borderId="32" xfId="0" applyNumberFormat="1" applyFont="1" applyFill="1" applyBorder="1" applyAlignment="1">
      <alignment vertical="center"/>
    </xf>
    <xf numFmtId="166" fontId="5" fillId="40" borderId="38" xfId="0" applyNumberFormat="1" applyFont="1" applyFill="1" applyBorder="1" applyAlignment="1">
      <alignment horizontal="right" vertical="center"/>
    </xf>
    <xf numFmtId="0" fontId="5" fillId="37" borderId="0" xfId="0" applyFont="1" applyFill="1" applyAlignment="1">
      <alignment vertical="center"/>
    </xf>
    <xf numFmtId="0" fontId="7" fillId="0" borderId="20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vertical="top" wrapText="1"/>
    </xf>
    <xf numFmtId="49" fontId="7" fillId="0" borderId="2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49" fontId="4" fillId="0" borderId="34" xfId="0" applyNumberFormat="1" applyFont="1" applyFill="1" applyBorder="1" applyAlignment="1">
      <alignment horizontal="center" vertical="top"/>
    </xf>
    <xf numFmtId="49" fontId="4" fillId="0" borderId="22" xfId="0" applyNumberFormat="1" applyFont="1" applyFill="1" applyBorder="1" applyAlignment="1">
      <alignment horizontal="center" vertical="top" wrapText="1"/>
    </xf>
    <xf numFmtId="49" fontId="7" fillId="0" borderId="34" xfId="0" applyNumberFormat="1" applyFont="1" applyFill="1" applyBorder="1" applyAlignment="1">
      <alignment horizontal="center" vertical="top"/>
    </xf>
    <xf numFmtId="49" fontId="7" fillId="0" borderId="22" xfId="0" applyNumberFormat="1" applyFont="1" applyFill="1" applyBorder="1" applyAlignment="1">
      <alignment horizontal="center" vertical="top" wrapText="1"/>
    </xf>
    <xf numFmtId="49" fontId="7" fillId="0" borderId="25" xfId="0" applyNumberFormat="1" applyFont="1" applyFill="1" applyBorder="1" applyAlignment="1">
      <alignment horizontal="center" vertical="top"/>
    </xf>
    <xf numFmtId="49" fontId="7" fillId="0" borderId="33" xfId="0" applyNumberFormat="1" applyFont="1" applyFill="1" applyBorder="1" applyAlignment="1">
      <alignment horizontal="center" vertical="top"/>
    </xf>
    <xf numFmtId="49" fontId="7" fillId="0" borderId="33" xfId="0" applyNumberFormat="1" applyFont="1" applyFill="1" applyBorder="1" applyAlignment="1">
      <alignment horizontal="center" vertical="top" wrapText="1"/>
    </xf>
    <xf numFmtId="49" fontId="7" fillId="0" borderId="24" xfId="0" applyNumberFormat="1" applyFont="1" applyFill="1" applyBorder="1" applyAlignment="1">
      <alignment vertical="top" wrapText="1"/>
    </xf>
    <xf numFmtId="4" fontId="7" fillId="0" borderId="33" xfId="0" applyNumberFormat="1" applyFont="1" applyFill="1" applyBorder="1" applyAlignment="1">
      <alignment vertical="top"/>
    </xf>
    <xf numFmtId="4" fontId="5" fillId="35" borderId="36" xfId="0" applyNumberFormat="1" applyFont="1" applyFill="1" applyBorder="1" applyAlignment="1">
      <alignment horizontal="center" vertical="center"/>
    </xf>
    <xf numFmtId="166" fontId="5" fillId="35" borderId="37" xfId="0" applyNumberFormat="1" applyFont="1" applyFill="1" applyBorder="1" applyAlignment="1">
      <alignment horizontal="right" vertical="center"/>
    </xf>
    <xf numFmtId="0" fontId="8" fillId="35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40" borderId="39" xfId="0" applyFont="1" applyFill="1" applyBorder="1" applyAlignment="1">
      <alignment horizontal="center" vertical="center"/>
    </xf>
    <xf numFmtId="168" fontId="5" fillId="40" borderId="15" xfId="0" applyNumberFormat="1" applyFont="1" applyFill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/>
    </xf>
    <xf numFmtId="4" fontId="4" fillId="0" borderId="40" xfId="0" applyNumberFormat="1" applyFont="1" applyBorder="1" applyAlignment="1">
      <alignment horizontal="right" vertical="center"/>
    </xf>
    <xf numFmtId="168" fontId="4" fillId="0" borderId="41" xfId="0" applyNumberFormat="1" applyFont="1" applyBorder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4" fillId="0" borderId="28" xfId="0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right" vertical="center"/>
    </xf>
    <xf numFmtId="4" fontId="4" fillId="0" borderId="28" xfId="0" applyNumberFormat="1" applyFont="1" applyFill="1" applyBorder="1" applyAlignment="1">
      <alignment horizontal="right" vertical="center"/>
    </xf>
    <xf numFmtId="168" fontId="4" fillId="0" borderId="29" xfId="0" applyNumberFormat="1" applyFont="1" applyBorder="1" applyAlignment="1">
      <alignment horizontal="right" vertical="center"/>
    </xf>
    <xf numFmtId="0" fontId="4" fillId="0" borderId="4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49" fontId="7" fillId="0" borderId="28" xfId="0" applyNumberFormat="1" applyFont="1" applyBorder="1" applyAlignment="1">
      <alignment vertical="center" wrapText="1"/>
    </xf>
    <xf numFmtId="0" fontId="7" fillId="0" borderId="28" xfId="0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right" vertical="center"/>
    </xf>
    <xf numFmtId="168" fontId="7" fillId="0" borderId="29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25" xfId="0" applyFont="1" applyBorder="1" applyAlignment="1">
      <alignment horizontal="center" vertical="center"/>
    </xf>
    <xf numFmtId="49" fontId="4" fillId="0" borderId="33" xfId="0" applyNumberFormat="1" applyFont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/>
    </xf>
    <xf numFmtId="4" fontId="4" fillId="0" borderId="33" xfId="0" applyNumberFormat="1" applyFont="1" applyBorder="1" applyAlignment="1">
      <alignment horizontal="right" vertical="center"/>
    </xf>
    <xf numFmtId="168" fontId="4" fillId="0" borderId="26" xfId="0" applyNumberFormat="1" applyFont="1" applyBorder="1" applyAlignment="1">
      <alignment horizontal="right" vertical="center"/>
    </xf>
    <xf numFmtId="4" fontId="5" fillId="0" borderId="22" xfId="0" applyNumberFormat="1" applyFont="1" applyBorder="1" applyAlignment="1">
      <alignment vertical="top"/>
    </xf>
    <xf numFmtId="4" fontId="5" fillId="40" borderId="28" xfId="0" applyNumberFormat="1" applyFont="1" applyFill="1" applyBorder="1" applyAlignment="1">
      <alignment vertical="center"/>
    </xf>
    <xf numFmtId="166" fontId="5" fillId="40" borderId="29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vertical="top"/>
    </xf>
    <xf numFmtId="4" fontId="5" fillId="0" borderId="0" xfId="0" applyNumberFormat="1" applyFont="1" applyAlignment="1">
      <alignment vertical="center"/>
    </xf>
    <xf numFmtId="166" fontId="5" fillId="0" borderId="0" xfId="0" applyNumberFormat="1" applyFont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right" vertical="top"/>
    </xf>
    <xf numFmtId="4" fontId="7" fillId="0" borderId="0" xfId="0" applyNumberFormat="1" applyFont="1" applyAlignment="1">
      <alignment vertical="top"/>
    </xf>
    <xf numFmtId="166" fontId="7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vertical="top"/>
    </xf>
    <xf numFmtId="166" fontId="4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165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0" fontId="76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49" fontId="6" fillId="33" borderId="35" xfId="0" applyNumberFormat="1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vertical="top"/>
    </xf>
    <xf numFmtId="0" fontId="4" fillId="0" borderId="22" xfId="0" applyFont="1" applyFill="1" applyBorder="1" applyAlignment="1">
      <alignment vertical="top"/>
    </xf>
    <xf numFmtId="0" fontId="4" fillId="0" borderId="22" xfId="0" applyFont="1" applyFill="1" applyBorder="1" applyAlignment="1">
      <alignment horizontal="right" vertical="top"/>
    </xf>
    <xf numFmtId="166" fontId="4" fillId="0" borderId="22" xfId="0" applyNumberFormat="1" applyFont="1" applyFill="1" applyBorder="1" applyAlignment="1">
      <alignment horizontal="right" vertical="top"/>
    </xf>
    <xf numFmtId="0" fontId="4" fillId="0" borderId="22" xfId="0" applyFont="1" applyFill="1" applyBorder="1" applyAlignment="1">
      <alignment vertical="top" wrapText="1"/>
    </xf>
    <xf numFmtId="3" fontId="4" fillId="0" borderId="22" xfId="0" applyNumberFormat="1" applyFont="1" applyFill="1" applyBorder="1" applyAlignment="1">
      <alignment vertical="top" wrapText="1"/>
    </xf>
    <xf numFmtId="49" fontId="4" fillId="0" borderId="35" xfId="0" applyNumberFormat="1" applyFont="1" applyFill="1" applyBorder="1" applyAlignment="1">
      <alignment horizontal="center" vertical="top"/>
    </xf>
    <xf numFmtId="0" fontId="4" fillId="0" borderId="24" xfId="0" applyFont="1" applyFill="1" applyBorder="1" applyAlignment="1">
      <alignment vertical="top"/>
    </xf>
    <xf numFmtId="4" fontId="4" fillId="0" borderId="24" xfId="0" applyNumberFormat="1" applyFont="1" applyFill="1" applyBorder="1" applyAlignment="1">
      <alignment vertical="top"/>
    </xf>
    <xf numFmtId="166" fontId="4" fillId="0" borderId="24" xfId="0" applyNumberFormat="1" applyFont="1" applyFill="1" applyBorder="1" applyAlignment="1">
      <alignment horizontal="right" vertical="top"/>
    </xf>
    <xf numFmtId="49" fontId="4" fillId="37" borderId="34" xfId="0" applyNumberFormat="1" applyFont="1" applyFill="1" applyBorder="1" applyAlignment="1">
      <alignment horizontal="left" vertical="top"/>
    </xf>
    <xf numFmtId="49" fontId="4" fillId="37" borderId="0" xfId="0" applyNumberFormat="1" applyFont="1" applyFill="1" applyBorder="1" applyAlignment="1">
      <alignment horizontal="left" vertical="top"/>
    </xf>
    <xf numFmtId="4" fontId="4" fillId="37" borderId="22" xfId="0" applyNumberFormat="1" applyFont="1" applyFill="1" applyBorder="1" applyAlignment="1">
      <alignment vertical="top"/>
    </xf>
    <xf numFmtId="166" fontId="4" fillId="37" borderId="22" xfId="0" applyNumberFormat="1" applyFont="1" applyFill="1" applyBorder="1" applyAlignment="1">
      <alignment horizontal="right" vertical="top"/>
    </xf>
    <xf numFmtId="0" fontId="5" fillId="40" borderId="35" xfId="0" applyFont="1" applyFill="1" applyBorder="1" applyAlignment="1">
      <alignment horizontal="right" vertical="top"/>
    </xf>
    <xf numFmtId="0" fontId="5" fillId="40" borderId="44" xfId="0" applyFont="1" applyFill="1" applyBorder="1" applyAlignment="1">
      <alignment horizontal="left" vertical="top"/>
    </xf>
    <xf numFmtId="4" fontId="5" fillId="40" borderId="24" xfId="0" applyNumberFormat="1" applyFont="1" applyFill="1" applyBorder="1" applyAlignment="1">
      <alignment vertical="top"/>
    </xf>
    <xf numFmtId="166" fontId="5" fillId="40" borderId="24" xfId="0" applyNumberFormat="1" applyFont="1" applyFill="1" applyBorder="1" applyAlignment="1">
      <alignment horizontal="right" vertical="top"/>
    </xf>
    <xf numFmtId="164" fontId="5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Alignment="1">
      <alignment/>
    </xf>
    <xf numFmtId="0" fontId="5" fillId="33" borderId="29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64" fontId="4" fillId="0" borderId="22" xfId="0" applyNumberFormat="1" applyFont="1" applyFill="1" applyBorder="1" applyAlignment="1">
      <alignment vertical="top"/>
    </xf>
    <xf numFmtId="0" fontId="4" fillId="0" borderId="23" xfId="0" applyFont="1" applyFill="1" applyBorder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40" borderId="13" xfId="0" applyFont="1" applyFill="1" applyBorder="1" applyAlignment="1">
      <alignment horizontal="center" vertical="center"/>
    </xf>
    <xf numFmtId="0" fontId="5" fillId="40" borderId="12" xfId="0" applyFont="1" applyFill="1" applyBorder="1" applyAlignment="1">
      <alignment vertical="center"/>
    </xf>
    <xf numFmtId="4" fontId="5" fillId="40" borderId="12" xfId="0" applyNumberFormat="1" applyFont="1" applyFill="1" applyBorder="1" applyAlignment="1">
      <alignment vertical="center"/>
    </xf>
    <xf numFmtId="167" fontId="5" fillId="40" borderId="45" xfId="0" applyNumberFormat="1" applyFont="1" applyFill="1" applyBorder="1" applyAlignment="1">
      <alignment horizontal="right" vertical="center"/>
    </xf>
    <xf numFmtId="169" fontId="5" fillId="40" borderId="15" xfId="0" applyNumberFormat="1" applyFont="1" applyFill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4" fontId="11" fillId="0" borderId="20" xfId="0" applyNumberFormat="1" applyFont="1" applyBorder="1" applyAlignment="1">
      <alignment vertical="center"/>
    </xf>
    <xf numFmtId="4" fontId="11" fillId="0" borderId="20" xfId="0" applyNumberFormat="1" applyFont="1" applyFill="1" applyBorder="1" applyAlignment="1">
      <alignment vertical="center"/>
    </xf>
    <xf numFmtId="167" fontId="11" fillId="0" borderId="0" xfId="0" applyNumberFormat="1" applyFont="1" applyBorder="1" applyAlignment="1">
      <alignment horizontal="right" vertical="center"/>
    </xf>
    <xf numFmtId="169" fontId="11" fillId="0" borderId="23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4" fontId="4" fillId="0" borderId="20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 wrapText="1"/>
    </xf>
    <xf numFmtId="167" fontId="4" fillId="0" borderId="0" xfId="0" applyNumberFormat="1" applyFont="1" applyBorder="1" applyAlignment="1">
      <alignment horizontal="right" vertical="center"/>
    </xf>
    <xf numFmtId="169" fontId="4" fillId="0" borderId="23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 wrapText="1"/>
    </xf>
    <xf numFmtId="167" fontId="11" fillId="0" borderId="20" xfId="0" applyNumberFormat="1" applyFont="1" applyBorder="1" applyAlignment="1">
      <alignment horizontal="right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4" fontId="76" fillId="0" borderId="20" xfId="0" applyNumberFormat="1" applyFont="1" applyBorder="1" applyAlignment="1">
      <alignment vertical="center"/>
    </xf>
    <xf numFmtId="0" fontId="79" fillId="0" borderId="0" xfId="0" applyFont="1" applyAlignment="1">
      <alignment vertical="center"/>
    </xf>
    <xf numFmtId="49" fontId="4" fillId="0" borderId="20" xfId="0" applyNumberFormat="1" applyFont="1" applyBorder="1" applyAlignment="1">
      <alignment vertical="center" wrapText="1"/>
    </xf>
    <xf numFmtId="0" fontId="75" fillId="0" borderId="0" xfId="0" applyFont="1" applyBorder="1" applyAlignment="1">
      <alignment horizontal="center" vertical="center"/>
    </xf>
    <xf numFmtId="49" fontId="76" fillId="0" borderId="0" xfId="0" applyNumberFormat="1" applyFont="1" applyBorder="1" applyAlignment="1">
      <alignment vertical="center"/>
    </xf>
    <xf numFmtId="4" fontId="76" fillId="0" borderId="0" xfId="0" applyNumberFormat="1" applyFont="1" applyBorder="1" applyAlignment="1">
      <alignment vertical="center"/>
    </xf>
    <xf numFmtId="0" fontId="76" fillId="0" borderId="0" xfId="0" applyFont="1" applyBorder="1" applyAlignment="1">
      <alignment horizontal="right" vertical="center"/>
    </xf>
    <xf numFmtId="0" fontId="75" fillId="0" borderId="0" xfId="0" applyFont="1" applyAlignment="1">
      <alignment horizontal="center" vertical="center"/>
    </xf>
    <xf numFmtId="49" fontId="76" fillId="0" borderId="0" xfId="0" applyNumberFormat="1" applyFont="1" applyAlignment="1">
      <alignment horizontal="right" vertical="center"/>
    </xf>
    <xf numFmtId="4" fontId="76" fillId="0" borderId="0" xfId="0" applyNumberFormat="1" applyFont="1" applyAlignment="1">
      <alignment/>
    </xf>
    <xf numFmtId="4" fontId="76" fillId="0" borderId="46" xfId="0" applyNumberFormat="1" applyFont="1" applyBorder="1" applyAlignment="1">
      <alignment vertical="center"/>
    </xf>
    <xf numFmtId="0" fontId="76" fillId="0" borderId="0" xfId="0" applyFont="1" applyAlignment="1">
      <alignment horizontal="right" vertical="center"/>
    </xf>
    <xf numFmtId="4" fontId="76" fillId="38" borderId="47" xfId="0" applyNumberFormat="1" applyFont="1" applyFill="1" applyBorder="1" applyAlignment="1">
      <alignment vertical="center"/>
    </xf>
    <xf numFmtId="39" fontId="76" fillId="0" borderId="0" xfId="0" applyNumberFormat="1" applyFont="1" applyAlignment="1">
      <alignment vertical="center"/>
    </xf>
    <xf numFmtId="0" fontId="76" fillId="0" borderId="0" xfId="0" applyFont="1" applyAlignment="1">
      <alignment horizontal="left" vertical="center"/>
    </xf>
    <xf numFmtId="39" fontId="76" fillId="0" borderId="46" xfId="0" applyNumberFormat="1" applyFont="1" applyBorder="1" applyAlignment="1">
      <alignment vertical="center"/>
    </xf>
    <xf numFmtId="39" fontId="76" fillId="0" borderId="47" xfId="0" applyNumberFormat="1" applyFont="1" applyBorder="1" applyAlignment="1">
      <alignment vertical="center"/>
    </xf>
    <xf numFmtId="167" fontId="4" fillId="0" borderId="20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vertical="center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9" fontId="4" fillId="0" borderId="0" xfId="0" applyNumberFormat="1" applyFont="1" applyAlignment="1" applyProtection="1">
      <alignment/>
      <protection hidden="1"/>
    </xf>
    <xf numFmtId="0" fontId="5" fillId="33" borderId="13" xfId="0" applyFont="1" applyFill="1" applyBorder="1" applyAlignment="1" applyProtection="1">
      <alignment horizontal="center" vertical="center"/>
      <protection hidden="1"/>
    </xf>
    <xf numFmtId="0" fontId="5" fillId="33" borderId="45" xfId="0" applyFont="1" applyFill="1" applyBorder="1" applyAlignment="1" applyProtection="1">
      <alignment horizontal="center" vertical="center"/>
      <protection hidden="1"/>
    </xf>
    <xf numFmtId="0" fontId="5" fillId="33" borderId="14" xfId="0" applyFont="1" applyFill="1" applyBorder="1" applyAlignment="1" applyProtection="1">
      <alignment horizontal="center" vertical="center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4" fillId="33" borderId="16" xfId="0" applyFont="1" applyFill="1" applyBorder="1" applyAlignment="1" applyProtection="1">
      <alignment horizontal="center"/>
      <protection hidden="1"/>
    </xf>
    <xf numFmtId="0" fontId="4" fillId="33" borderId="48" xfId="0" applyFont="1" applyFill="1" applyBorder="1" applyAlignment="1" applyProtection="1">
      <alignment horizontal="center"/>
      <protection hidden="1"/>
    </xf>
    <xf numFmtId="0" fontId="4" fillId="33" borderId="11" xfId="0" applyFont="1" applyFill="1" applyBorder="1" applyAlignment="1" applyProtection="1">
      <alignment horizontal="center"/>
      <protection hidden="1"/>
    </xf>
    <xf numFmtId="0" fontId="4" fillId="33" borderId="24" xfId="0" applyFont="1" applyFill="1" applyBorder="1" applyAlignment="1" applyProtection="1">
      <alignment horizontal="center"/>
      <protection hidden="1"/>
    </xf>
    <xf numFmtId="0" fontId="4" fillId="33" borderId="17" xfId="0" applyFont="1" applyFill="1" applyBorder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horizontal="center"/>
      <protection hidden="1"/>
    </xf>
    <xf numFmtId="49" fontId="4" fillId="0" borderId="18" xfId="0" applyNumberFormat="1" applyFont="1" applyBorder="1" applyAlignment="1" applyProtection="1">
      <alignment horizontal="center"/>
      <protection hidden="1"/>
    </xf>
    <xf numFmtId="4" fontId="4" fillId="0" borderId="0" xfId="0" applyNumberFormat="1" applyFont="1" applyBorder="1" applyAlignment="1" applyProtection="1">
      <alignment horizontal="center"/>
      <protection hidden="1"/>
    </xf>
    <xf numFmtId="4" fontId="4" fillId="0" borderId="22" xfId="0" applyNumberFormat="1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49" fontId="5" fillId="0" borderId="18" xfId="0" applyNumberFormat="1" applyFont="1" applyBorder="1" applyAlignment="1" applyProtection="1">
      <alignment/>
      <protection hidden="1"/>
    </xf>
    <xf numFmtId="4" fontId="5" fillId="0" borderId="20" xfId="0" applyNumberFormat="1" applyFont="1" applyBorder="1" applyAlignment="1" applyProtection="1">
      <alignment/>
      <protection hidden="1"/>
    </xf>
    <xf numFmtId="4" fontId="5" fillId="0" borderId="20" xfId="0" applyNumberFormat="1" applyFont="1" applyFill="1" applyBorder="1" applyAlignment="1" applyProtection="1">
      <alignment/>
      <protection hidden="1"/>
    </xf>
    <xf numFmtId="4" fontId="5" fillId="0" borderId="22" xfId="0" applyNumberFormat="1" applyFont="1" applyBorder="1" applyAlignment="1" applyProtection="1">
      <alignment/>
      <protection hidden="1"/>
    </xf>
    <xf numFmtId="166" fontId="5" fillId="0" borderId="23" xfId="0" applyNumberFormat="1" applyFont="1" applyBorder="1" applyAlignment="1" applyProtection="1">
      <alignment/>
      <protection hidden="1"/>
    </xf>
    <xf numFmtId="49" fontId="4" fillId="0" borderId="18" xfId="0" applyNumberFormat="1" applyFont="1" applyBorder="1" applyAlignment="1" applyProtection="1">
      <alignment/>
      <protection hidden="1"/>
    </xf>
    <xf numFmtId="4" fontId="4" fillId="0" borderId="20" xfId="0" applyNumberFormat="1" applyFont="1" applyBorder="1" applyAlignment="1" applyProtection="1">
      <alignment/>
      <protection hidden="1"/>
    </xf>
    <xf numFmtId="4" fontId="4" fillId="0" borderId="22" xfId="0" applyNumberFormat="1" applyFont="1" applyBorder="1" applyAlignment="1" applyProtection="1">
      <alignment/>
      <protection hidden="1"/>
    </xf>
    <xf numFmtId="166" fontId="4" fillId="0" borderId="23" xfId="0" applyNumberFormat="1" applyFont="1" applyBorder="1" applyAlignment="1" applyProtection="1">
      <alignment/>
      <protection hidden="1"/>
    </xf>
    <xf numFmtId="4" fontId="4" fillId="0" borderId="0" xfId="0" applyNumberFormat="1" applyFont="1" applyAlignment="1" applyProtection="1">
      <alignment/>
      <protection hidden="1"/>
    </xf>
    <xf numFmtId="49" fontId="7" fillId="0" borderId="18" xfId="0" applyNumberFormat="1" applyFont="1" applyBorder="1" applyAlignment="1" applyProtection="1">
      <alignment/>
      <protection hidden="1"/>
    </xf>
    <xf numFmtId="4" fontId="7" fillId="0" borderId="20" xfId="0" applyNumberFormat="1" applyFont="1" applyBorder="1" applyAlignment="1" applyProtection="1">
      <alignment/>
      <protection hidden="1"/>
    </xf>
    <xf numFmtId="4" fontId="7" fillId="0" borderId="22" xfId="0" applyNumberFormat="1" applyFont="1" applyBorder="1" applyAlignment="1" applyProtection="1">
      <alignment/>
      <protection hidden="1"/>
    </xf>
    <xf numFmtId="166" fontId="7" fillId="0" borderId="23" xfId="0" applyNumberFormat="1" applyFont="1" applyBorder="1" applyAlignment="1" applyProtection="1">
      <alignment/>
      <protection hidden="1"/>
    </xf>
    <xf numFmtId="49" fontId="7" fillId="0" borderId="18" xfId="0" applyNumberFormat="1" applyFont="1" applyBorder="1" applyAlignment="1" applyProtection="1">
      <alignment wrapText="1"/>
      <protection hidden="1"/>
    </xf>
    <xf numFmtId="4" fontId="7" fillId="0" borderId="20" xfId="0" applyNumberFormat="1" applyFont="1" applyBorder="1" applyAlignment="1" applyProtection="1">
      <alignment wrapText="1"/>
      <protection hidden="1"/>
    </xf>
    <xf numFmtId="49" fontId="7" fillId="0" borderId="18" xfId="0" applyNumberFormat="1" applyFont="1" applyFill="1" applyBorder="1" applyAlignment="1" applyProtection="1">
      <alignment wrapText="1"/>
      <protection hidden="1"/>
    </xf>
    <xf numFmtId="4" fontId="7" fillId="0" borderId="20" xfId="0" applyNumberFormat="1" applyFont="1" applyFill="1" applyBorder="1" applyAlignment="1" applyProtection="1">
      <alignment/>
      <protection hidden="1"/>
    </xf>
    <xf numFmtId="4" fontId="7" fillId="0" borderId="22" xfId="0" applyNumberFormat="1" applyFont="1" applyFill="1" applyBorder="1" applyAlignment="1" applyProtection="1">
      <alignment/>
      <protection hidden="1"/>
    </xf>
    <xf numFmtId="166" fontId="7" fillId="0" borderId="23" xfId="0" applyNumberFormat="1" applyFont="1" applyFill="1" applyBorder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49" fontId="4" fillId="0" borderId="18" xfId="0" applyNumberFormat="1" applyFont="1" applyBorder="1" applyAlignment="1" applyProtection="1">
      <alignment wrapText="1"/>
      <protection hidden="1"/>
    </xf>
    <xf numFmtId="4" fontId="4" fillId="0" borderId="20" xfId="0" applyNumberFormat="1" applyFont="1" applyFill="1" applyBorder="1" applyAlignment="1" applyProtection="1">
      <alignment/>
      <protection hidden="1"/>
    </xf>
    <xf numFmtId="168" fontId="7" fillId="0" borderId="22" xfId="0" applyNumberFormat="1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4" fontId="4" fillId="0" borderId="20" xfId="0" applyNumberFormat="1" applyFont="1" applyBorder="1" applyAlignment="1" applyProtection="1">
      <alignment wrapText="1"/>
      <protection hidden="1"/>
    </xf>
    <xf numFmtId="4" fontId="7" fillId="0" borderId="20" xfId="0" applyNumberFormat="1" applyFont="1" applyFill="1" applyBorder="1" applyAlignment="1" applyProtection="1">
      <alignment wrapText="1"/>
      <protection hidden="1"/>
    </xf>
    <xf numFmtId="49" fontId="7" fillId="0" borderId="18" xfId="0" applyNumberFormat="1" applyFont="1" applyFill="1" applyBorder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4" fontId="7" fillId="0" borderId="22" xfId="0" applyNumberFormat="1" applyFont="1" applyFill="1" applyBorder="1" applyAlignment="1" applyProtection="1">
      <alignment horizontal="center"/>
      <protection hidden="1"/>
    </xf>
    <xf numFmtId="49" fontId="14" fillId="0" borderId="34" xfId="0" applyNumberFormat="1" applyFont="1" applyBorder="1" applyAlignment="1" applyProtection="1">
      <alignment/>
      <protection hidden="1"/>
    </xf>
    <xf numFmtId="4" fontId="14" fillId="0" borderId="20" xfId="0" applyNumberFormat="1" applyFont="1" applyFill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49" fontId="5" fillId="0" borderId="34" xfId="0" applyNumberFormat="1" applyFont="1" applyBorder="1" applyAlignment="1" applyProtection="1">
      <alignment/>
      <protection hidden="1"/>
    </xf>
    <xf numFmtId="49" fontId="4" fillId="0" borderId="34" xfId="0" applyNumberFormat="1" applyFont="1" applyBorder="1" applyAlignment="1" applyProtection="1">
      <alignment/>
      <protection hidden="1"/>
    </xf>
    <xf numFmtId="49" fontId="7" fillId="0" borderId="34" xfId="0" applyNumberFormat="1" applyFont="1" applyBorder="1" applyAlignment="1" applyProtection="1">
      <alignment/>
      <protection hidden="1"/>
    </xf>
    <xf numFmtId="4" fontId="7" fillId="0" borderId="20" xfId="0" applyNumberFormat="1" applyFont="1" applyBorder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" fontId="7" fillId="0" borderId="22" xfId="0" applyNumberFormat="1" applyFont="1" applyBorder="1" applyAlignment="1" applyProtection="1">
      <alignment horizontal="right"/>
      <protection hidden="1"/>
    </xf>
    <xf numFmtId="49" fontId="4" fillId="0" borderId="34" xfId="0" applyNumberFormat="1" applyFont="1" applyBorder="1" applyAlignment="1" applyProtection="1">
      <alignment/>
      <protection hidden="1"/>
    </xf>
    <xf numFmtId="4" fontId="4" fillId="0" borderId="20" xfId="0" applyNumberFormat="1" applyFont="1" applyBorder="1" applyAlignment="1" applyProtection="1">
      <alignment/>
      <protection hidden="1"/>
    </xf>
    <xf numFmtId="4" fontId="4" fillId="0" borderId="20" xfId="0" applyNumberFormat="1" applyFont="1" applyBorder="1" applyAlignment="1" applyProtection="1" quotePrefix="1">
      <alignment/>
      <protection hidden="1"/>
    </xf>
    <xf numFmtId="49" fontId="5" fillId="0" borderId="34" xfId="0" applyNumberFormat="1" applyFont="1" applyBorder="1" applyAlignment="1" applyProtection="1">
      <alignment wrapText="1"/>
      <protection hidden="1"/>
    </xf>
    <xf numFmtId="4" fontId="5" fillId="0" borderId="20" xfId="0" applyNumberFormat="1" applyFont="1" applyBorder="1" applyAlignment="1" applyProtection="1">
      <alignment/>
      <protection hidden="1"/>
    </xf>
    <xf numFmtId="49" fontId="4" fillId="0" borderId="34" xfId="0" applyNumberFormat="1" applyFont="1" applyBorder="1" applyAlignment="1" applyProtection="1">
      <alignment wrapText="1"/>
      <protection hidden="1"/>
    </xf>
    <xf numFmtId="0" fontId="12" fillId="0" borderId="0" xfId="0" applyFont="1" applyAlignment="1" applyProtection="1">
      <alignment horizontal="left"/>
      <protection hidden="1"/>
    </xf>
    <xf numFmtId="49" fontId="7" fillId="0" borderId="34" xfId="0" applyNumberFormat="1" applyFont="1" applyBorder="1" applyAlignment="1" applyProtection="1">
      <alignment/>
      <protection hidden="1"/>
    </xf>
    <xf numFmtId="0" fontId="13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49" fontId="12" fillId="0" borderId="0" xfId="0" applyNumberFormat="1" applyFont="1" applyAlignment="1" applyProtection="1">
      <alignment horizontal="left"/>
      <protection hidden="1"/>
    </xf>
    <xf numFmtId="4" fontId="12" fillId="0" borderId="22" xfId="0" applyNumberFormat="1" applyFont="1" applyBorder="1" applyAlignment="1" applyProtection="1">
      <alignment/>
      <protection hidden="1"/>
    </xf>
    <xf numFmtId="4" fontId="5" fillId="0" borderId="24" xfId="0" applyNumberFormat="1" applyFont="1" applyBorder="1" applyAlignment="1" applyProtection="1">
      <alignment/>
      <protection hidden="1"/>
    </xf>
    <xf numFmtId="49" fontId="5" fillId="40" borderId="49" xfId="0" applyNumberFormat="1" applyFont="1" applyFill="1" applyBorder="1" applyAlignment="1" applyProtection="1">
      <alignment vertical="center"/>
      <protection hidden="1"/>
    </xf>
    <xf numFmtId="4" fontId="5" fillId="40" borderId="50" xfId="0" applyNumberFormat="1" applyFont="1" applyFill="1" applyBorder="1" applyAlignment="1" applyProtection="1">
      <alignment vertical="center"/>
      <protection hidden="1"/>
    </xf>
    <xf numFmtId="4" fontId="5" fillId="40" borderId="24" xfId="0" applyNumberFormat="1" applyFont="1" applyFill="1" applyBorder="1" applyAlignment="1" applyProtection="1">
      <alignment vertical="center"/>
      <protection hidden="1"/>
    </xf>
    <xf numFmtId="166" fontId="5" fillId="40" borderId="37" xfId="0" applyNumberFormat="1" applyFont="1" applyFill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/>
      <protection hidden="1"/>
    </xf>
    <xf numFmtId="4" fontId="5" fillId="0" borderId="0" xfId="0" applyNumberFormat="1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3" fontId="5" fillId="0" borderId="0" xfId="0" applyNumberFormat="1" applyFont="1" applyBorder="1" applyAlignment="1" applyProtection="1">
      <alignment/>
      <protection hidden="1"/>
    </xf>
    <xf numFmtId="0" fontId="16" fillId="0" borderId="0" xfId="0" applyFont="1" applyAlignment="1">
      <alignment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vertical="center" wrapText="1"/>
    </xf>
    <xf numFmtId="4" fontId="5" fillId="0" borderId="20" xfId="0" applyNumberFormat="1" applyFont="1" applyFill="1" applyBorder="1" applyAlignment="1">
      <alignment vertical="center"/>
    </xf>
    <xf numFmtId="166" fontId="5" fillId="0" borderId="2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vertical="center" wrapText="1"/>
    </xf>
    <xf numFmtId="4" fontId="4" fillId="0" borderId="20" xfId="0" applyNumberFormat="1" applyFont="1" applyFill="1" applyBorder="1" applyAlignment="1">
      <alignment vertical="center"/>
    </xf>
    <xf numFmtId="166" fontId="4" fillId="0" borderId="2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vertical="center" wrapText="1"/>
    </xf>
    <xf numFmtId="166" fontId="11" fillId="0" borderId="21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vertical="center" wrapText="1"/>
    </xf>
    <xf numFmtId="4" fontId="7" fillId="0" borderId="20" xfId="0" applyNumberFormat="1" applyFont="1" applyFill="1" applyBorder="1" applyAlignment="1">
      <alignment vertical="center"/>
    </xf>
    <xf numFmtId="166" fontId="7" fillId="0" borderId="21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vertical="center" wrapText="1"/>
    </xf>
    <xf numFmtId="4" fontId="13" fillId="0" borderId="20" xfId="0" applyNumberFormat="1" applyFont="1" applyFill="1" applyBorder="1" applyAlignment="1">
      <alignment vertical="center"/>
    </xf>
    <xf numFmtId="166" fontId="13" fillId="0" borderId="21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33" borderId="51" xfId="0" applyNumberFormat="1" applyFont="1" applyFill="1" applyBorder="1" applyAlignment="1">
      <alignment horizontal="center" vertical="center"/>
    </xf>
    <xf numFmtId="49" fontId="17" fillId="33" borderId="52" xfId="0" applyNumberFormat="1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7" fillId="33" borderId="53" xfId="0" applyFont="1" applyFill="1" applyBorder="1" applyAlignment="1">
      <alignment horizontal="center" vertical="center"/>
    </xf>
    <xf numFmtId="4" fontId="5" fillId="41" borderId="32" xfId="0" applyNumberFormat="1" applyFont="1" applyFill="1" applyBorder="1" applyAlignment="1">
      <alignment vertical="center"/>
    </xf>
    <xf numFmtId="166" fontId="5" fillId="41" borderId="38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49" fontId="18" fillId="0" borderId="18" xfId="0" applyNumberFormat="1" applyFont="1" applyFill="1" applyBorder="1" applyAlignment="1">
      <alignment horizontal="center" vertical="center"/>
    </xf>
    <xf numFmtId="49" fontId="18" fillId="0" borderId="2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9" fontId="4" fillId="0" borderId="2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49" fontId="5" fillId="0" borderId="20" xfId="0" applyNumberFormat="1" applyFont="1" applyFill="1" applyBorder="1" applyAlignment="1">
      <alignment vertical="center"/>
    </xf>
    <xf numFmtId="49" fontId="7" fillId="0" borderId="34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49" fontId="7" fillId="0" borderId="20" xfId="0" applyNumberFormat="1" applyFont="1" applyFill="1" applyBorder="1" applyAlignment="1">
      <alignment vertical="center"/>
    </xf>
    <xf numFmtId="49" fontId="10" fillId="0" borderId="34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49" fontId="5" fillId="0" borderId="34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9" fontId="12" fillId="0" borderId="34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vertical="center"/>
    </xf>
    <xf numFmtId="4" fontId="4" fillId="0" borderId="19" xfId="0" applyNumberFormat="1" applyFont="1" applyFill="1" applyBorder="1" applyAlignment="1">
      <alignment vertical="center"/>
    </xf>
    <xf numFmtId="49" fontId="7" fillId="0" borderId="20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166" fontId="5" fillId="0" borderId="21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166" fontId="4" fillId="0" borderId="21" xfId="0" applyNumberFormat="1" applyFont="1" applyBorder="1" applyAlignment="1">
      <alignment vertical="center"/>
    </xf>
    <xf numFmtId="49" fontId="11" fillId="0" borderId="18" xfId="0" applyNumberFormat="1" applyFont="1" applyBorder="1" applyAlignment="1">
      <alignment horizontal="center" vertical="center"/>
    </xf>
    <xf numFmtId="166" fontId="11" fillId="0" borderId="21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vertical="center"/>
    </xf>
    <xf numFmtId="166" fontId="7" fillId="0" borderId="21" xfId="0" applyNumberFormat="1" applyFont="1" applyBorder="1" applyAlignment="1">
      <alignment vertical="center"/>
    </xf>
    <xf numFmtId="49" fontId="10" fillId="0" borderId="18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vertical="center"/>
    </xf>
    <xf numFmtId="166" fontId="10" fillId="0" borderId="21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vertical="center" wrapText="1"/>
    </xf>
    <xf numFmtId="4" fontId="13" fillId="0" borderId="20" xfId="0" applyNumberFormat="1" applyFont="1" applyBorder="1" applyAlignment="1">
      <alignment vertical="center"/>
    </xf>
    <xf numFmtId="166" fontId="13" fillId="0" borderId="21" xfId="0" applyNumberFormat="1" applyFont="1" applyBorder="1" applyAlignment="1">
      <alignment vertical="center"/>
    </xf>
    <xf numFmtId="49" fontId="10" fillId="0" borderId="34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left" vertical="center" wrapText="1"/>
    </xf>
    <xf numFmtId="49" fontId="7" fillId="0" borderId="3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0" xfId="0" applyFont="1" applyBorder="1" applyAlignment="1">
      <alignment vertical="center"/>
    </xf>
    <xf numFmtId="49" fontId="4" fillId="0" borderId="34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4" fontId="4" fillId="0" borderId="19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166" fontId="5" fillId="40" borderId="29" xfId="0" applyNumberFormat="1" applyFont="1" applyFill="1" applyBorder="1" applyAlignment="1">
      <alignment vertical="center"/>
    </xf>
    <xf numFmtId="49" fontId="10" fillId="0" borderId="30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vertical="center" wrapText="1"/>
    </xf>
    <xf numFmtId="4" fontId="13" fillId="0" borderId="31" xfId="0" applyNumberFormat="1" applyFont="1" applyBorder="1" applyAlignment="1">
      <alignment vertical="center"/>
    </xf>
    <xf numFmtId="166" fontId="13" fillId="0" borderId="38" xfId="0" applyNumberFormat="1" applyFont="1" applyBorder="1" applyAlignment="1">
      <alignment vertical="center"/>
    </xf>
    <xf numFmtId="49" fontId="5" fillId="40" borderId="54" xfId="0" applyNumberFormat="1" applyFont="1" applyFill="1" applyBorder="1" applyAlignment="1">
      <alignment vertical="center" wrapText="1"/>
    </xf>
    <xf numFmtId="166" fontId="5" fillId="40" borderId="38" xfId="0" applyNumberFormat="1" applyFont="1" applyFill="1" applyBorder="1" applyAlignment="1">
      <alignment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vertical="center" wrapText="1"/>
    </xf>
    <xf numFmtId="4" fontId="7" fillId="0" borderId="22" xfId="0" applyNumberFormat="1" applyFont="1" applyFill="1" applyBorder="1" applyAlignment="1">
      <alignment vertical="center"/>
    </xf>
    <xf numFmtId="166" fontId="7" fillId="0" borderId="23" xfId="0" applyNumberFormat="1" applyFont="1" applyFill="1" applyBorder="1" applyAlignment="1">
      <alignment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vertical="center" wrapText="1"/>
    </xf>
    <xf numFmtId="4" fontId="7" fillId="0" borderId="32" xfId="0" applyNumberFormat="1" applyFont="1" applyFill="1" applyBorder="1" applyAlignment="1">
      <alignment vertical="center"/>
    </xf>
    <xf numFmtId="166" fontId="7" fillId="0" borderId="55" xfId="0" applyNumberFormat="1" applyFont="1" applyFill="1" applyBorder="1" applyAlignment="1">
      <alignment vertical="center"/>
    </xf>
    <xf numFmtId="166" fontId="5" fillId="40" borderId="55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15" fillId="0" borderId="0" xfId="0" applyNumberFormat="1" applyFont="1" applyAlignment="1">
      <alignment vertical="center"/>
    </xf>
    <xf numFmtId="49" fontId="7" fillId="0" borderId="35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vertical="center" wrapText="1"/>
    </xf>
    <xf numFmtId="4" fontId="7" fillId="0" borderId="24" xfId="0" applyNumberFormat="1" applyFont="1" applyFill="1" applyBorder="1" applyAlignment="1">
      <alignment vertical="center"/>
    </xf>
    <xf numFmtId="166" fontId="7" fillId="0" borderId="26" xfId="0" applyNumberFormat="1" applyFont="1" applyFill="1" applyBorder="1" applyAlignment="1">
      <alignment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5" fillId="42" borderId="34" xfId="0" applyNumberFormat="1" applyFont="1" applyFill="1" applyBorder="1" applyAlignment="1">
      <alignment horizontal="center" vertical="center"/>
    </xf>
    <xf numFmtId="49" fontId="5" fillId="42" borderId="22" xfId="0" applyNumberFormat="1" applyFont="1" applyFill="1" applyBorder="1" applyAlignment="1">
      <alignment horizontal="center" vertical="center"/>
    </xf>
    <xf numFmtId="49" fontId="5" fillId="42" borderId="20" xfId="0" applyNumberFormat="1" applyFont="1" applyFill="1" applyBorder="1" applyAlignment="1">
      <alignment vertical="center" wrapText="1"/>
    </xf>
    <xf numFmtId="4" fontId="5" fillId="42" borderId="20" xfId="0" applyNumberFormat="1" applyFont="1" applyFill="1" applyBorder="1" applyAlignment="1">
      <alignment vertical="center"/>
    </xf>
    <xf numFmtId="166" fontId="5" fillId="42" borderId="21" xfId="0" applyNumberFormat="1" applyFont="1" applyFill="1" applyBorder="1" applyAlignment="1">
      <alignment vertical="center"/>
    </xf>
    <xf numFmtId="0" fontId="5" fillId="42" borderId="0" xfId="0" applyFont="1" applyFill="1" applyAlignment="1">
      <alignment vertical="center"/>
    </xf>
    <xf numFmtId="49" fontId="11" fillId="42" borderId="18" xfId="0" applyNumberFormat="1" applyFont="1" applyFill="1" applyBorder="1" applyAlignment="1">
      <alignment horizontal="center" vertical="center"/>
    </xf>
    <xf numFmtId="49" fontId="11" fillId="42" borderId="20" xfId="0" applyNumberFormat="1" applyFont="1" applyFill="1" applyBorder="1" applyAlignment="1">
      <alignment horizontal="center" vertical="center"/>
    </xf>
    <xf numFmtId="49" fontId="11" fillId="42" borderId="20" xfId="0" applyNumberFormat="1" applyFont="1" applyFill="1" applyBorder="1" applyAlignment="1">
      <alignment vertical="center" wrapText="1"/>
    </xf>
    <xf numFmtId="4" fontId="11" fillId="42" borderId="20" xfId="0" applyNumberFormat="1" applyFont="1" applyFill="1" applyBorder="1" applyAlignment="1">
      <alignment vertical="center"/>
    </xf>
    <xf numFmtId="166" fontId="11" fillId="42" borderId="21" xfId="0" applyNumberFormat="1" applyFont="1" applyFill="1" applyBorder="1" applyAlignment="1">
      <alignment vertical="center"/>
    </xf>
    <xf numFmtId="0" fontId="11" fillId="42" borderId="0" xfId="0" applyFont="1" applyFill="1" applyAlignment="1">
      <alignment horizontal="center" vertical="center"/>
    </xf>
    <xf numFmtId="0" fontId="11" fillId="42" borderId="0" xfId="0" applyFont="1" applyFill="1" applyAlignment="1">
      <alignment vertical="center"/>
    </xf>
    <xf numFmtId="49" fontId="7" fillId="42" borderId="18" xfId="0" applyNumberFormat="1" applyFont="1" applyFill="1" applyBorder="1" applyAlignment="1">
      <alignment horizontal="center" vertical="center"/>
    </xf>
    <xf numFmtId="49" fontId="7" fillId="42" borderId="20" xfId="0" applyNumberFormat="1" applyFont="1" applyFill="1" applyBorder="1" applyAlignment="1">
      <alignment horizontal="center" vertical="center"/>
    </xf>
    <xf numFmtId="49" fontId="7" fillId="42" borderId="20" xfId="0" applyNumberFormat="1" applyFont="1" applyFill="1" applyBorder="1" applyAlignment="1">
      <alignment vertical="center" wrapText="1"/>
    </xf>
    <xf numFmtId="4" fontId="7" fillId="42" borderId="20" xfId="0" applyNumberFormat="1" applyFont="1" applyFill="1" applyBorder="1" applyAlignment="1">
      <alignment vertical="center"/>
    </xf>
    <xf numFmtId="166" fontId="7" fillId="42" borderId="21" xfId="0" applyNumberFormat="1" applyFont="1" applyFill="1" applyBorder="1" applyAlignment="1">
      <alignment vertical="center"/>
    </xf>
    <xf numFmtId="0" fontId="10" fillId="42" borderId="0" xfId="0" applyFont="1" applyFill="1" applyAlignment="1">
      <alignment horizontal="center" vertical="center"/>
    </xf>
    <xf numFmtId="0" fontId="7" fillId="42" borderId="0" xfId="0" applyFont="1" applyFill="1" applyAlignment="1">
      <alignment vertical="center"/>
    </xf>
    <xf numFmtId="49" fontId="10" fillId="42" borderId="18" xfId="0" applyNumberFormat="1" applyFont="1" applyFill="1" applyBorder="1" applyAlignment="1">
      <alignment horizontal="center" vertical="center"/>
    </xf>
    <xf numFmtId="49" fontId="10" fillId="42" borderId="20" xfId="0" applyNumberFormat="1" applyFont="1" applyFill="1" applyBorder="1" applyAlignment="1">
      <alignment horizontal="center" vertical="center"/>
    </xf>
    <xf numFmtId="49" fontId="13" fillId="42" borderId="20" xfId="0" applyNumberFormat="1" applyFont="1" applyFill="1" applyBorder="1" applyAlignment="1">
      <alignment vertical="center" wrapText="1"/>
    </xf>
    <xf numFmtId="4" fontId="13" fillId="42" borderId="20" xfId="0" applyNumberFormat="1" applyFont="1" applyFill="1" applyBorder="1" applyAlignment="1">
      <alignment vertical="center"/>
    </xf>
    <xf numFmtId="166" fontId="13" fillId="42" borderId="21" xfId="0" applyNumberFormat="1" applyFont="1" applyFill="1" applyBorder="1" applyAlignment="1">
      <alignment vertical="center"/>
    </xf>
    <xf numFmtId="0" fontId="10" fillId="42" borderId="0" xfId="0" applyFont="1" applyFill="1" applyAlignment="1">
      <alignment vertical="center"/>
    </xf>
    <xf numFmtId="49" fontId="7" fillId="42" borderId="34" xfId="0" applyNumberFormat="1" applyFont="1" applyFill="1" applyBorder="1" applyAlignment="1">
      <alignment horizontal="center" vertical="center"/>
    </xf>
    <xf numFmtId="49" fontId="7" fillId="42" borderId="22" xfId="0" applyNumberFormat="1" applyFont="1" applyFill="1" applyBorder="1" applyAlignment="1">
      <alignment horizontal="center" vertical="center"/>
    </xf>
    <xf numFmtId="0" fontId="7" fillId="42" borderId="0" xfId="0" applyFont="1" applyFill="1" applyAlignment="1">
      <alignment horizontal="center" vertical="center"/>
    </xf>
    <xf numFmtId="49" fontId="7" fillId="42" borderId="20" xfId="0" applyNumberFormat="1" applyFont="1" applyFill="1" applyBorder="1" applyAlignment="1">
      <alignment horizontal="left" vertical="center" wrapText="1"/>
    </xf>
    <xf numFmtId="49" fontId="4" fillId="42" borderId="34" xfId="0" applyNumberFormat="1" applyFont="1" applyFill="1" applyBorder="1" applyAlignment="1">
      <alignment horizontal="center" vertical="center"/>
    </xf>
    <xf numFmtId="49" fontId="4" fillId="42" borderId="22" xfId="0" applyNumberFormat="1" applyFont="1" applyFill="1" applyBorder="1" applyAlignment="1">
      <alignment horizontal="center" vertical="center"/>
    </xf>
    <xf numFmtId="49" fontId="4" fillId="42" borderId="35" xfId="0" applyNumberFormat="1" applyFont="1" applyFill="1" applyBorder="1" applyAlignment="1">
      <alignment horizontal="center" vertical="center"/>
    </xf>
    <xf numFmtId="49" fontId="4" fillId="42" borderId="24" xfId="0" applyNumberFormat="1" applyFont="1" applyFill="1" applyBorder="1" applyAlignment="1">
      <alignment horizontal="center" vertical="center"/>
    </xf>
    <xf numFmtId="49" fontId="7" fillId="42" borderId="33" xfId="0" applyNumberFormat="1" applyFont="1" applyFill="1" applyBorder="1" applyAlignment="1">
      <alignment vertical="center" wrapText="1"/>
    </xf>
    <xf numFmtId="4" fontId="7" fillId="42" borderId="33" xfId="0" applyNumberFormat="1" applyFont="1" applyFill="1" applyBorder="1" applyAlignment="1">
      <alignment vertical="center"/>
    </xf>
    <xf numFmtId="166" fontId="7" fillId="42" borderId="56" xfId="0" applyNumberFormat="1" applyFont="1" applyFill="1" applyBorder="1" applyAlignment="1">
      <alignment vertical="center"/>
    </xf>
    <xf numFmtId="0" fontId="4" fillId="42" borderId="0" xfId="0" applyFont="1" applyFill="1" applyAlignment="1">
      <alignment horizontal="center" vertical="center"/>
    </xf>
    <xf numFmtId="0" fontId="4" fillId="42" borderId="0" xfId="0" applyFont="1" applyFill="1" applyAlignment="1">
      <alignment vertical="center"/>
    </xf>
    <xf numFmtId="49" fontId="5" fillId="35" borderId="35" xfId="0" applyNumberFormat="1" applyFont="1" applyFill="1" applyBorder="1" applyAlignment="1">
      <alignment horizontal="center" vertical="center"/>
    </xf>
    <xf numFmtId="49" fontId="5" fillId="35" borderId="44" xfId="0" applyNumberFormat="1" applyFont="1" applyFill="1" applyBorder="1" applyAlignment="1">
      <alignment horizontal="center" vertical="center"/>
    </xf>
    <xf numFmtId="49" fontId="5" fillId="35" borderId="57" xfId="0" applyNumberFormat="1" applyFont="1" applyFill="1" applyBorder="1" applyAlignment="1">
      <alignment vertical="center" wrapText="1"/>
    </xf>
    <xf numFmtId="4" fontId="5" fillId="35" borderId="33" xfId="0" applyNumberFormat="1" applyFont="1" applyFill="1" applyBorder="1" applyAlignment="1">
      <alignment vertical="center"/>
    </xf>
    <xf numFmtId="166" fontId="5" fillId="35" borderId="56" xfId="0" applyNumberFormat="1" applyFont="1" applyFill="1" applyBorder="1" applyAlignment="1">
      <alignment vertical="center"/>
    </xf>
    <xf numFmtId="3" fontId="21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 vertical="center"/>
    </xf>
    <xf numFmtId="166" fontId="10" fillId="0" borderId="0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vertical="center"/>
    </xf>
    <xf numFmtId="167" fontId="5" fillId="0" borderId="22" xfId="0" applyNumberFormat="1" applyFont="1" applyBorder="1" applyAlignment="1">
      <alignment horizontal="right" vertical="center"/>
    </xf>
    <xf numFmtId="49" fontId="4" fillId="0" borderId="22" xfId="0" applyNumberFormat="1" applyFont="1" applyBorder="1" applyAlignment="1">
      <alignment vertical="center" wrapText="1"/>
    </xf>
    <xf numFmtId="167" fontId="4" fillId="0" borderId="22" xfId="0" applyNumberFormat="1" applyFont="1" applyBorder="1" applyAlignment="1">
      <alignment horizontal="right" vertical="center"/>
    </xf>
    <xf numFmtId="49" fontId="4" fillId="38" borderId="22" xfId="0" applyNumberFormat="1" applyFont="1" applyFill="1" applyBorder="1" applyAlignment="1">
      <alignment vertical="center" wrapText="1"/>
    </xf>
    <xf numFmtId="4" fontId="5" fillId="0" borderId="22" xfId="0" applyNumberFormat="1" applyFont="1" applyBorder="1" applyAlignment="1">
      <alignment vertical="center"/>
    </xf>
    <xf numFmtId="169" fontId="5" fillId="0" borderId="23" xfId="0" applyNumberFormat="1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vertical="center" wrapText="1"/>
    </xf>
    <xf numFmtId="4" fontId="4" fillId="0" borderId="24" xfId="0" applyNumberFormat="1" applyFont="1" applyBorder="1" applyAlignment="1">
      <alignment vertical="center"/>
    </xf>
    <xf numFmtId="167" fontId="4" fillId="0" borderId="24" xfId="0" applyNumberFormat="1" applyFont="1" applyBorder="1" applyAlignment="1">
      <alignment horizontal="right" vertical="center"/>
    </xf>
    <xf numFmtId="169" fontId="4" fillId="0" borderId="26" xfId="0" applyNumberFormat="1" applyFont="1" applyBorder="1" applyAlignment="1">
      <alignment vertical="center"/>
    </xf>
    <xf numFmtId="0" fontId="5" fillId="40" borderId="27" xfId="0" applyFont="1" applyFill="1" applyBorder="1" applyAlignment="1">
      <alignment horizontal="center" vertical="center"/>
    </xf>
    <xf numFmtId="49" fontId="5" fillId="40" borderId="31" xfId="0" applyNumberFormat="1" applyFont="1" applyFill="1" applyBorder="1" applyAlignment="1">
      <alignment vertical="center"/>
    </xf>
    <xf numFmtId="167" fontId="5" fillId="40" borderId="31" xfId="0" applyNumberFormat="1" applyFont="1" applyFill="1" applyBorder="1" applyAlignment="1">
      <alignment horizontal="center" vertical="center"/>
    </xf>
    <xf numFmtId="169" fontId="5" fillId="40" borderId="29" xfId="0" applyNumberFormat="1" applyFont="1" applyFill="1" applyBorder="1" applyAlignment="1">
      <alignment horizontal="center" vertical="center"/>
    </xf>
    <xf numFmtId="169" fontId="5" fillId="40" borderId="38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vertical="center" wrapText="1"/>
    </xf>
    <xf numFmtId="4" fontId="4" fillId="0" borderId="33" xfId="0" applyNumberFormat="1" applyFont="1" applyFill="1" applyBorder="1" applyAlignment="1">
      <alignment vertical="center"/>
    </xf>
    <xf numFmtId="169" fontId="7" fillId="0" borderId="26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49" fontId="7" fillId="0" borderId="20" xfId="0" applyNumberFormat="1" applyFont="1" applyBorder="1" applyAlignment="1">
      <alignment vertical="center"/>
    </xf>
    <xf numFmtId="167" fontId="7" fillId="0" borderId="22" xfId="0" applyNumberFormat="1" applyFont="1" applyBorder="1" applyAlignment="1">
      <alignment horizontal="right" vertical="center"/>
    </xf>
    <xf numFmtId="169" fontId="7" fillId="0" borderId="23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49" fontId="11" fillId="0" borderId="20" xfId="0" applyNumberFormat="1" applyFont="1" applyBorder="1" applyAlignment="1">
      <alignment vertical="center"/>
    </xf>
    <xf numFmtId="167" fontId="11" fillId="0" borderId="22" xfId="0" applyNumberFormat="1" applyFont="1" applyBorder="1" applyAlignment="1">
      <alignment horizontal="right" vertical="center"/>
    </xf>
    <xf numFmtId="0" fontId="5" fillId="40" borderId="42" xfId="0" applyFont="1" applyFill="1" applyBorder="1" applyAlignment="1">
      <alignment horizontal="center" vertical="center"/>
    </xf>
    <xf numFmtId="49" fontId="5" fillId="40" borderId="28" xfId="0" applyNumberFormat="1" applyFont="1" applyFill="1" applyBorder="1" applyAlignment="1">
      <alignment vertical="center"/>
    </xf>
    <xf numFmtId="167" fontId="5" fillId="40" borderId="43" xfId="0" applyNumberFormat="1" applyFont="1" applyFill="1" applyBorder="1" applyAlignment="1">
      <alignment horizontal="right" vertical="center"/>
    </xf>
    <xf numFmtId="169" fontId="5" fillId="40" borderId="29" xfId="0" applyNumberFormat="1" applyFont="1" applyFill="1" applyBorder="1" applyAlignment="1">
      <alignment vertical="center"/>
    </xf>
    <xf numFmtId="0" fontId="79" fillId="0" borderId="18" xfId="0" applyFont="1" applyBorder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66" fontId="4" fillId="0" borderId="26" xfId="0" applyNumberFormat="1" applyFont="1" applyFill="1" applyBorder="1" applyAlignment="1">
      <alignment horizontal="right" vertical="top"/>
    </xf>
    <xf numFmtId="166" fontId="4" fillId="37" borderId="23" xfId="0" applyNumberFormat="1" applyFont="1" applyFill="1" applyBorder="1" applyAlignment="1">
      <alignment horizontal="right" vertical="top"/>
    </xf>
    <xf numFmtId="166" fontId="5" fillId="40" borderId="26" xfId="0" applyNumberFormat="1" applyFont="1" applyFill="1" applyBorder="1" applyAlignment="1">
      <alignment horizontal="right" vertical="top"/>
    </xf>
    <xf numFmtId="4" fontId="5" fillId="0" borderId="0" xfId="0" applyNumberFormat="1" applyFont="1" applyBorder="1" applyAlignment="1">
      <alignment/>
    </xf>
    <xf numFmtId="166" fontId="5" fillId="0" borderId="0" xfId="0" applyNumberFormat="1" applyFont="1" applyFill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7" fillId="36" borderId="28" xfId="0" applyFont="1" applyFill="1" applyBorder="1" applyAlignment="1">
      <alignment horizontal="center" vertical="center" wrapText="1"/>
    </xf>
    <xf numFmtId="0" fontId="6" fillId="36" borderId="2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0" fillId="0" borderId="58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4" fontId="5" fillId="36" borderId="28" xfId="0" applyNumberFormat="1" applyFont="1" applyFill="1" applyBorder="1" applyAlignment="1">
      <alignment vertical="center"/>
    </xf>
    <xf numFmtId="0" fontId="5" fillId="0" borderId="42" xfId="0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>
      <alignment vertical="center"/>
    </xf>
    <xf numFmtId="49" fontId="4" fillId="36" borderId="42" xfId="0" applyNumberFormat="1" applyFont="1" applyFill="1" applyBorder="1" applyAlignment="1">
      <alignment horizontal="center" vertical="center"/>
    </xf>
    <xf numFmtId="4" fontId="4" fillId="36" borderId="28" xfId="0" applyNumberFormat="1" applyFont="1" applyFill="1" applyBorder="1" applyAlignment="1">
      <alignment vertical="center"/>
    </xf>
    <xf numFmtId="49" fontId="4" fillId="0" borderId="42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vertical="center"/>
    </xf>
    <xf numFmtId="4" fontId="4" fillId="0" borderId="28" xfId="0" applyNumberFormat="1" applyFont="1" applyFill="1" applyBorder="1" applyAlignment="1">
      <alignment vertical="center"/>
    </xf>
    <xf numFmtId="0" fontId="4" fillId="36" borderId="42" xfId="0" applyFont="1" applyFill="1" applyBorder="1" applyAlignment="1">
      <alignment horizontal="center" vertical="center"/>
    </xf>
    <xf numFmtId="0" fontId="4" fillId="38" borderId="42" xfId="0" applyFont="1" applyFill="1" applyBorder="1" applyAlignment="1">
      <alignment horizontal="center" vertical="center"/>
    </xf>
    <xf numFmtId="4" fontId="4" fillId="38" borderId="28" xfId="0" applyNumberFormat="1" applyFont="1" applyFill="1" applyBorder="1" applyAlignment="1">
      <alignment vertical="center"/>
    </xf>
    <xf numFmtId="0" fontId="4" fillId="36" borderId="27" xfId="0" applyFont="1" applyFill="1" applyBorder="1" applyAlignment="1">
      <alignment horizontal="center" vertical="center"/>
    </xf>
    <xf numFmtId="4" fontId="4" fillId="36" borderId="32" xfId="0" applyNumberFormat="1" applyFont="1" applyFill="1" applyBorder="1" applyAlignment="1">
      <alignment vertical="center"/>
    </xf>
    <xf numFmtId="49" fontId="4" fillId="36" borderId="27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vertical="center"/>
    </xf>
    <xf numFmtId="49" fontId="4" fillId="0" borderId="59" xfId="0" applyNumberFormat="1" applyFont="1" applyBorder="1" applyAlignment="1">
      <alignment horizontal="center" vertical="center"/>
    </xf>
    <xf numFmtId="4" fontId="4" fillId="0" borderId="60" xfId="0" applyNumberFormat="1" applyFont="1" applyBorder="1" applyAlignment="1">
      <alignment vertical="center"/>
    </xf>
    <xf numFmtId="4" fontId="4" fillId="0" borderId="60" xfId="0" applyNumberFormat="1" applyFont="1" applyFill="1" applyBorder="1" applyAlignment="1">
      <alignment vertical="center"/>
    </xf>
    <xf numFmtId="0" fontId="5" fillId="36" borderId="27" xfId="0" applyFont="1" applyFill="1" applyBorder="1" applyAlignment="1">
      <alignment horizontal="center" vertical="center" wrapText="1"/>
    </xf>
    <xf numFmtId="4" fontId="5" fillId="36" borderId="32" xfId="0" applyNumberFormat="1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vertical="center"/>
    </xf>
    <xf numFmtId="4" fontId="5" fillId="36" borderId="29" xfId="0" applyNumberFormat="1" applyFont="1" applyFill="1" applyBorder="1" applyAlignment="1">
      <alignment vertical="center"/>
    </xf>
    <xf numFmtId="0" fontId="4" fillId="36" borderId="0" xfId="0" applyFont="1" applyFill="1" applyAlignment="1">
      <alignment vertical="center"/>
    </xf>
    <xf numFmtId="0" fontId="5" fillId="0" borderId="58" xfId="0" applyFont="1" applyFill="1" applyBorder="1" applyAlignment="1">
      <alignment horizontal="center" vertical="center"/>
    </xf>
    <xf numFmtId="4" fontId="5" fillId="0" borderId="29" xfId="0" applyNumberFormat="1" applyFont="1" applyFill="1" applyBorder="1" applyAlignment="1">
      <alignment vertical="center"/>
    </xf>
    <xf numFmtId="4" fontId="5" fillId="0" borderId="61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0" fontId="5" fillId="36" borderId="0" xfId="0" applyFont="1" applyFill="1" applyAlignment="1">
      <alignment vertical="center"/>
    </xf>
    <xf numFmtId="0" fontId="5" fillId="0" borderId="62" xfId="0" applyFont="1" applyBorder="1" applyAlignment="1">
      <alignment horizontal="center" vertical="center"/>
    </xf>
    <xf numFmtId="4" fontId="5" fillId="0" borderId="17" xfId="0" applyNumberFormat="1" applyFont="1" applyBorder="1" applyAlignment="1">
      <alignment vertical="center"/>
    </xf>
    <xf numFmtId="0" fontId="4" fillId="36" borderId="58" xfId="0" applyFont="1" applyFill="1" applyBorder="1" applyAlignment="1">
      <alignment horizontal="center" vertical="center"/>
    </xf>
    <xf numFmtId="4" fontId="4" fillId="36" borderId="43" xfId="0" applyNumberFormat="1" applyFont="1" applyFill="1" applyBorder="1" applyAlignment="1">
      <alignment vertical="center"/>
    </xf>
    <xf numFmtId="4" fontId="4" fillId="36" borderId="29" xfId="0" applyNumberFormat="1" applyFont="1" applyFill="1" applyBorder="1" applyAlignment="1">
      <alignment vertical="center"/>
    </xf>
    <xf numFmtId="0" fontId="4" fillId="0" borderId="58" xfId="0" applyFont="1" applyBorder="1" applyAlignment="1">
      <alignment horizontal="center" vertical="center"/>
    </xf>
    <xf numFmtId="4" fontId="4" fillId="0" borderId="43" xfId="0" applyNumberFormat="1" applyFont="1" applyBorder="1" applyAlignment="1">
      <alignment vertical="center"/>
    </xf>
    <xf numFmtId="4" fontId="4" fillId="0" borderId="29" xfId="0" applyNumberFormat="1" applyFont="1" applyBorder="1" applyAlignment="1">
      <alignment vertical="center"/>
    </xf>
    <xf numFmtId="4" fontId="4" fillId="38" borderId="43" xfId="0" applyNumberFormat="1" applyFont="1" applyFill="1" applyBorder="1" applyAlignment="1">
      <alignment vertical="center"/>
    </xf>
    <xf numFmtId="4" fontId="4" fillId="38" borderId="29" xfId="0" applyNumberFormat="1" applyFont="1" applyFill="1" applyBorder="1" applyAlignment="1">
      <alignment vertical="center"/>
    </xf>
    <xf numFmtId="0" fontId="4" fillId="38" borderId="0" xfId="0" applyFont="1" applyFill="1" applyAlignment="1">
      <alignment vertical="center"/>
    </xf>
    <xf numFmtId="0" fontId="4" fillId="36" borderId="30" xfId="0" applyFont="1" applyFill="1" applyBorder="1" applyAlignment="1">
      <alignment horizontal="center" vertical="center"/>
    </xf>
    <xf numFmtId="4" fontId="4" fillId="36" borderId="31" xfId="0" applyNumberFormat="1" applyFont="1" applyFill="1" applyBorder="1" applyAlignment="1">
      <alignment vertical="center"/>
    </xf>
    <xf numFmtId="4" fontId="4" fillId="36" borderId="38" xfId="0" applyNumberFormat="1" applyFont="1" applyFill="1" applyBorder="1" applyAlignment="1">
      <alignment vertical="center"/>
    </xf>
    <xf numFmtId="0" fontId="4" fillId="0" borderId="63" xfId="0" applyFont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6" borderId="27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 wrapText="1"/>
    </xf>
    <xf numFmtId="0" fontId="5" fillId="36" borderId="32" xfId="0" applyFont="1" applyFill="1" applyBorder="1" applyAlignment="1">
      <alignment horizontal="center" vertical="center" wrapText="1"/>
    </xf>
    <xf numFmtId="0" fontId="5" fillId="38" borderId="0" xfId="0" applyFont="1" applyFill="1" applyAlignment="1">
      <alignment horizontal="right" vertical="center"/>
    </xf>
    <xf numFmtId="0" fontId="5" fillId="36" borderId="28" xfId="0" applyFont="1" applyFill="1" applyBorder="1" applyAlignment="1">
      <alignment horizontal="center" vertical="center"/>
    </xf>
    <xf numFmtId="0" fontId="5" fillId="36" borderId="28" xfId="0" applyFont="1" applyFill="1" applyBorder="1" applyAlignment="1">
      <alignment horizontal="center" vertical="center" wrapText="1"/>
    </xf>
    <xf numFmtId="0" fontId="5" fillId="36" borderId="42" xfId="0" applyFont="1" applyFill="1" applyBorder="1" applyAlignment="1">
      <alignment horizontal="center" vertical="center"/>
    </xf>
    <xf numFmtId="4" fontId="4" fillId="0" borderId="64" xfId="0" applyNumberFormat="1" applyFont="1" applyBorder="1" applyAlignment="1">
      <alignment vertical="center"/>
    </xf>
    <xf numFmtId="4" fontId="4" fillId="0" borderId="65" xfId="0" applyNumberFormat="1" applyFont="1" applyBorder="1" applyAlignment="1">
      <alignment vertical="center"/>
    </xf>
    <xf numFmtId="0" fontId="5" fillId="36" borderId="39" xfId="0" applyFont="1" applyFill="1" applyBorder="1" applyAlignment="1">
      <alignment horizontal="center" vertical="center"/>
    </xf>
    <xf numFmtId="0" fontId="5" fillId="36" borderId="58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" fontId="5" fillId="0" borderId="28" xfId="0" applyNumberFormat="1" applyFont="1" applyBorder="1" applyAlignment="1">
      <alignment vertical="center"/>
    </xf>
    <xf numFmtId="4" fontId="5" fillId="0" borderId="29" xfId="0" applyNumberFormat="1" applyFont="1" applyBorder="1" applyAlignment="1">
      <alignment vertical="center"/>
    </xf>
    <xf numFmtId="0" fontId="4" fillId="36" borderId="28" xfId="0" applyFont="1" applyFill="1" applyBorder="1" applyAlignment="1">
      <alignment horizontal="center" vertical="center"/>
    </xf>
    <xf numFmtId="4" fontId="4" fillId="33" borderId="28" xfId="0" applyNumberFormat="1" applyFont="1" applyFill="1" applyBorder="1" applyAlignment="1">
      <alignment horizontal="right" vertical="center"/>
    </xf>
    <xf numFmtId="4" fontId="4" fillId="36" borderId="28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49" fontId="4" fillId="36" borderId="32" xfId="0" applyNumberFormat="1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49" fontId="4" fillId="0" borderId="6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4" fillId="0" borderId="29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4" fontId="5" fillId="0" borderId="17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4" fontId="5" fillId="35" borderId="0" xfId="0" applyNumberFormat="1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5" fillId="33" borderId="6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5" fillId="40" borderId="12" xfId="0" applyFont="1" applyFill="1" applyBorder="1" applyAlignment="1">
      <alignment vertical="center" wrapText="1"/>
    </xf>
    <xf numFmtId="168" fontId="5" fillId="40" borderId="15" xfId="0" applyNumberFormat="1" applyFont="1" applyFill="1" applyBorder="1" applyAlignment="1">
      <alignment horizontal="center" vertical="center"/>
    </xf>
    <xf numFmtId="0" fontId="5" fillId="40" borderId="32" xfId="0" applyFont="1" applyFill="1" applyBorder="1" applyAlignment="1">
      <alignment vertical="center"/>
    </xf>
    <xf numFmtId="168" fontId="5" fillId="40" borderId="38" xfId="0" applyNumberFormat="1" applyFont="1" applyFill="1" applyBorder="1" applyAlignment="1">
      <alignment vertical="center"/>
    </xf>
    <xf numFmtId="168" fontId="4" fillId="0" borderId="23" xfId="0" applyNumberFormat="1" applyFont="1" applyBorder="1" applyAlignment="1">
      <alignment vertical="center"/>
    </xf>
    <xf numFmtId="168" fontId="4" fillId="0" borderId="23" xfId="0" applyNumberFormat="1" applyFont="1" applyBorder="1" applyAlignment="1">
      <alignment horizontal="right" vertical="center"/>
    </xf>
    <xf numFmtId="4" fontId="5" fillId="35" borderId="50" xfId="0" applyNumberFormat="1" applyFont="1" applyFill="1" applyBorder="1" applyAlignment="1">
      <alignment vertical="center"/>
    </xf>
    <xf numFmtId="168" fontId="5" fillId="35" borderId="37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68" fontId="4" fillId="0" borderId="21" xfId="0" applyNumberFormat="1" applyFont="1" applyBorder="1" applyAlignment="1">
      <alignment vertical="center"/>
    </xf>
    <xf numFmtId="9" fontId="4" fillId="0" borderId="20" xfId="66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4" fillId="0" borderId="32" xfId="0" applyFont="1" applyBorder="1" applyAlignment="1">
      <alignment vertical="center" wrapText="1"/>
    </xf>
    <xf numFmtId="4" fontId="4" fillId="0" borderId="32" xfId="0" applyNumberFormat="1" applyFont="1" applyBorder="1" applyAlignment="1">
      <alignment vertical="center"/>
    </xf>
    <xf numFmtId="0" fontId="5" fillId="37" borderId="58" xfId="0" applyFont="1" applyFill="1" applyBorder="1" applyAlignment="1">
      <alignment horizontal="center" vertical="center"/>
    </xf>
    <xf numFmtId="0" fontId="5" fillId="37" borderId="28" xfId="0" applyFont="1" applyFill="1" applyBorder="1" applyAlignment="1">
      <alignment vertical="center"/>
    </xf>
    <xf numFmtId="0" fontId="5" fillId="37" borderId="28" xfId="0" applyFont="1" applyFill="1" applyBorder="1" applyAlignment="1">
      <alignment vertical="center" wrapText="1"/>
    </xf>
    <xf numFmtId="4" fontId="5" fillId="41" borderId="28" xfId="0" applyNumberFormat="1" applyFont="1" applyFill="1" applyBorder="1" applyAlignment="1">
      <alignment vertical="center"/>
    </xf>
    <xf numFmtId="168" fontId="5" fillId="37" borderId="29" xfId="0" applyNumberFormat="1" applyFont="1" applyFill="1" applyBorder="1" applyAlignment="1">
      <alignment horizontal="center" vertical="center"/>
    </xf>
    <xf numFmtId="0" fontId="5" fillId="37" borderId="34" xfId="0" applyFont="1" applyFill="1" applyBorder="1" applyAlignment="1">
      <alignment horizontal="center" vertical="center"/>
    </xf>
    <xf numFmtId="0" fontId="5" fillId="37" borderId="20" xfId="0" applyFont="1" applyFill="1" applyBorder="1" applyAlignment="1">
      <alignment vertical="center"/>
    </xf>
    <xf numFmtId="0" fontId="5" fillId="37" borderId="20" xfId="0" applyFont="1" applyFill="1" applyBorder="1" applyAlignment="1">
      <alignment vertical="center" wrapText="1"/>
    </xf>
    <xf numFmtId="4" fontId="5" fillId="37" borderId="20" xfId="0" applyNumberFormat="1" applyFont="1" applyFill="1" applyBorder="1" applyAlignment="1">
      <alignment vertical="center"/>
    </xf>
    <xf numFmtId="168" fontId="5" fillId="37" borderId="23" xfId="0" applyNumberFormat="1" applyFont="1" applyFill="1" applyBorder="1" applyAlignment="1">
      <alignment horizontal="center" vertical="center"/>
    </xf>
    <xf numFmtId="168" fontId="5" fillId="40" borderId="38" xfId="0" applyNumberFormat="1" applyFont="1" applyFill="1" applyBorder="1" applyAlignment="1">
      <alignment horizontal="center" vertical="center"/>
    </xf>
    <xf numFmtId="168" fontId="5" fillId="40" borderId="15" xfId="0" applyNumberFormat="1" applyFont="1" applyFill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68" fontId="4" fillId="0" borderId="38" xfId="0" applyNumberFormat="1" applyFont="1" applyBorder="1" applyAlignment="1">
      <alignment horizontal="center" vertical="center"/>
    </xf>
    <xf numFmtId="168" fontId="5" fillId="37" borderId="29" xfId="0" applyNumberFormat="1" applyFont="1" applyFill="1" applyBorder="1" applyAlignment="1">
      <alignment vertical="center"/>
    </xf>
    <xf numFmtId="0" fontId="5" fillId="37" borderId="35" xfId="0" applyFont="1" applyFill="1" applyBorder="1" applyAlignment="1">
      <alignment horizontal="center" vertical="center"/>
    </xf>
    <xf numFmtId="0" fontId="5" fillId="37" borderId="33" xfId="0" applyFont="1" applyFill="1" applyBorder="1" applyAlignment="1">
      <alignment vertical="center"/>
    </xf>
    <xf numFmtId="0" fontId="5" fillId="37" borderId="33" xfId="0" applyFont="1" applyFill="1" applyBorder="1" applyAlignment="1">
      <alignment vertical="center" wrapText="1"/>
    </xf>
    <xf numFmtId="4" fontId="5" fillId="37" borderId="33" xfId="0" applyNumberFormat="1" applyFont="1" applyFill="1" applyBorder="1" applyAlignment="1">
      <alignment vertical="center"/>
    </xf>
    <xf numFmtId="168" fontId="5" fillId="37" borderId="26" xfId="0" applyNumberFormat="1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49" fontId="7" fillId="0" borderId="22" xfId="0" applyNumberFormat="1" applyFont="1" applyBorder="1" applyAlignment="1">
      <alignment vertical="center" wrapText="1"/>
    </xf>
    <xf numFmtId="4" fontId="7" fillId="0" borderId="22" xfId="0" applyNumberFormat="1" applyFont="1" applyBorder="1" applyAlignment="1">
      <alignment horizontal="right" vertical="center"/>
    </xf>
    <xf numFmtId="168" fontId="7" fillId="0" borderId="23" xfId="0" applyNumberFormat="1" applyFont="1" applyBorder="1" applyAlignment="1">
      <alignment vertical="center"/>
    </xf>
    <xf numFmtId="168" fontId="5" fillId="33" borderId="15" xfId="0" applyNumberFormat="1" applyFont="1" applyFill="1" applyBorder="1" applyAlignment="1">
      <alignment horizontal="center" vertical="center"/>
    </xf>
    <xf numFmtId="3" fontId="5" fillId="33" borderId="29" xfId="0" applyNumberFormat="1" applyFont="1" applyFill="1" applyBorder="1" applyAlignment="1">
      <alignment horizontal="center" vertical="center"/>
    </xf>
    <xf numFmtId="0" fontId="5" fillId="40" borderId="30" xfId="0" applyFont="1" applyFill="1" applyBorder="1" applyAlignment="1">
      <alignment horizontal="center" vertical="center"/>
    </xf>
    <xf numFmtId="0" fontId="5" fillId="37" borderId="31" xfId="0" applyFont="1" applyFill="1" applyBorder="1" applyAlignment="1">
      <alignment vertical="center" wrapText="1"/>
    </xf>
    <xf numFmtId="4" fontId="5" fillId="40" borderId="31" xfId="0" applyNumberFormat="1" applyFont="1" applyFill="1" applyBorder="1" applyAlignment="1">
      <alignment horizontal="right" vertical="center"/>
    </xf>
    <xf numFmtId="0" fontId="5" fillId="40" borderId="31" xfId="0" applyFont="1" applyFill="1" applyBorder="1" applyAlignment="1">
      <alignment vertical="center"/>
    </xf>
    <xf numFmtId="4" fontId="4" fillId="0" borderId="22" xfId="0" applyNumberFormat="1" applyFont="1" applyBorder="1" applyAlignment="1">
      <alignment horizontal="right" vertical="center"/>
    </xf>
    <xf numFmtId="4" fontId="7" fillId="0" borderId="22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vertical="center" wrapText="1"/>
    </xf>
    <xf numFmtId="4" fontId="4" fillId="0" borderId="22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4" fontId="4" fillId="0" borderId="24" xfId="0" applyNumberFormat="1" applyFont="1" applyBorder="1" applyAlignment="1">
      <alignment horizontal="right" vertical="center"/>
    </xf>
    <xf numFmtId="168" fontId="4" fillId="0" borderId="26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 wrapText="1"/>
    </xf>
    <xf numFmtId="4" fontId="5" fillId="35" borderId="36" xfId="0" applyNumberFormat="1" applyFont="1" applyFill="1" applyBorder="1" applyAlignment="1">
      <alignment horizontal="right" vertical="center"/>
    </xf>
    <xf numFmtId="0" fontId="5" fillId="40" borderId="14" xfId="0" applyFont="1" applyFill="1" applyBorder="1" applyAlignment="1">
      <alignment vertical="center"/>
    </xf>
    <xf numFmtId="4" fontId="5" fillId="40" borderId="14" xfId="0" applyNumberFormat="1" applyFont="1" applyFill="1" applyBorder="1" applyAlignment="1">
      <alignment horizontal="right" vertical="center"/>
    </xf>
    <xf numFmtId="0" fontId="5" fillId="37" borderId="24" xfId="0" applyFont="1" applyFill="1" applyBorder="1" applyAlignment="1">
      <alignment vertical="center" wrapText="1"/>
    </xf>
    <xf numFmtId="4" fontId="5" fillId="37" borderId="22" xfId="0" applyNumberFormat="1" applyFont="1" applyFill="1" applyBorder="1" applyAlignment="1">
      <alignment horizontal="right" vertical="center"/>
    </xf>
    <xf numFmtId="166" fontId="5" fillId="35" borderId="37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horizontal="right" vertical="center"/>
    </xf>
    <xf numFmtId="0" fontId="5" fillId="40" borderId="28" xfId="0" applyFont="1" applyFill="1" applyBorder="1" applyAlignment="1">
      <alignment horizontal="center" vertical="center"/>
    </xf>
    <xf numFmtId="0" fontId="5" fillId="40" borderId="28" xfId="0" applyFont="1" applyFill="1" applyBorder="1" applyAlignment="1">
      <alignment vertical="center"/>
    </xf>
    <xf numFmtId="4" fontId="5" fillId="40" borderId="28" xfId="0" applyNumberFormat="1" applyFont="1" applyFill="1" applyBorder="1" applyAlignment="1">
      <alignment horizontal="right" vertical="center"/>
    </xf>
    <xf numFmtId="168" fontId="5" fillId="40" borderId="28" xfId="0" applyNumberFormat="1" applyFont="1" applyFill="1" applyBorder="1" applyAlignment="1">
      <alignment horizontal="right" vertical="center"/>
    </xf>
    <xf numFmtId="0" fontId="4" fillId="38" borderId="28" xfId="0" applyFont="1" applyFill="1" applyBorder="1" applyAlignment="1">
      <alignment horizontal="center" vertical="center"/>
    </xf>
    <xf numFmtId="0" fontId="4" fillId="38" borderId="28" xfId="0" applyFont="1" applyFill="1" applyBorder="1" applyAlignment="1">
      <alignment vertical="center"/>
    </xf>
    <xf numFmtId="4" fontId="4" fillId="38" borderId="28" xfId="0" applyNumberFormat="1" applyFont="1" applyFill="1" applyBorder="1" applyAlignment="1">
      <alignment horizontal="right" vertical="center"/>
    </xf>
    <xf numFmtId="168" fontId="4" fillId="0" borderId="28" xfId="0" applyNumberFormat="1" applyFont="1" applyBorder="1" applyAlignment="1">
      <alignment horizontal="right" vertical="center"/>
    </xf>
    <xf numFmtId="0" fontId="4" fillId="0" borderId="62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right" vertical="center"/>
    </xf>
    <xf numFmtId="0" fontId="4" fillId="0" borderId="0" xfId="62" applyFont="1" applyAlignment="1">
      <alignment horizontal="center" vertical="center" wrapText="1"/>
      <protection/>
    </xf>
    <xf numFmtId="0" fontId="4" fillId="0" borderId="0" xfId="62" applyFont="1" applyAlignment="1">
      <alignment vertical="center" wrapText="1"/>
      <protection/>
    </xf>
    <xf numFmtId="43" fontId="4" fillId="0" borderId="0" xfId="42" applyFont="1" applyAlignment="1">
      <alignment vertical="center" wrapText="1"/>
    </xf>
    <xf numFmtId="0" fontId="5" fillId="0" borderId="0" xfId="62" applyFont="1" applyAlignment="1">
      <alignment horizontal="center" vertical="center" wrapText="1"/>
      <protection/>
    </xf>
    <xf numFmtId="43" fontId="4" fillId="0" borderId="0" xfId="42" applyFont="1" applyAlignment="1">
      <alignment horizontal="right" vertical="center" wrapText="1"/>
    </xf>
    <xf numFmtId="0" fontId="5" fillId="33" borderId="39" xfId="62" applyFont="1" applyFill="1" applyBorder="1" applyAlignment="1">
      <alignment horizontal="center" vertical="center" wrapText="1"/>
      <protection/>
    </xf>
    <xf numFmtId="0" fontId="5" fillId="33" borderId="14" xfId="62" applyFont="1" applyFill="1" applyBorder="1" applyAlignment="1">
      <alignment horizontal="center" vertical="center" wrapText="1"/>
      <protection/>
    </xf>
    <xf numFmtId="43" fontId="5" fillId="33" borderId="14" xfId="42" applyFont="1" applyFill="1" applyBorder="1" applyAlignment="1">
      <alignment horizontal="center" vertical="center" wrapText="1"/>
    </xf>
    <xf numFmtId="0" fontId="5" fillId="33" borderId="15" xfId="62" applyFont="1" applyFill="1" applyBorder="1" applyAlignment="1">
      <alignment horizontal="center" vertical="center" wrapText="1"/>
      <protection/>
    </xf>
    <xf numFmtId="1" fontId="5" fillId="33" borderId="35" xfId="62" applyNumberFormat="1" applyFont="1" applyFill="1" applyBorder="1" applyAlignment="1">
      <alignment horizontal="center" vertical="center" wrapText="1"/>
      <protection/>
    </xf>
    <xf numFmtId="1" fontId="5" fillId="33" borderId="24" xfId="62" applyNumberFormat="1" applyFont="1" applyFill="1" applyBorder="1" applyAlignment="1">
      <alignment horizontal="center" vertical="center" wrapText="1"/>
      <protection/>
    </xf>
    <xf numFmtId="1" fontId="5" fillId="33" borderId="24" xfId="42" applyNumberFormat="1" applyFont="1" applyFill="1" applyBorder="1" applyAlignment="1">
      <alignment horizontal="center" vertical="center" wrapText="1"/>
    </xf>
    <xf numFmtId="1" fontId="5" fillId="33" borderId="26" xfId="62" applyNumberFormat="1" applyFont="1" applyFill="1" applyBorder="1" applyAlignment="1">
      <alignment horizontal="center" vertical="center" wrapText="1"/>
      <protection/>
    </xf>
    <xf numFmtId="1" fontId="5" fillId="0" borderId="0" xfId="62" applyNumberFormat="1" applyFont="1" applyAlignment="1">
      <alignment horizontal="center" vertical="center" wrapText="1"/>
      <protection/>
    </xf>
    <xf numFmtId="0" fontId="5" fillId="37" borderId="30" xfId="62" applyFont="1" applyFill="1" applyBorder="1" applyAlignment="1">
      <alignment horizontal="center" vertical="center" wrapText="1"/>
      <protection/>
    </xf>
    <xf numFmtId="0" fontId="5" fillId="37" borderId="31" xfId="62" applyFont="1" applyFill="1" applyBorder="1" applyAlignment="1">
      <alignment vertical="center" wrapText="1"/>
      <protection/>
    </xf>
    <xf numFmtId="43" fontId="5" fillId="37" borderId="31" xfId="42" applyFont="1" applyFill="1" applyBorder="1" applyAlignment="1">
      <alignment horizontal="right" vertical="center" wrapText="1"/>
    </xf>
    <xf numFmtId="166" fontId="5" fillId="37" borderId="38" xfId="62" applyNumberFormat="1" applyFont="1" applyFill="1" applyBorder="1" applyAlignment="1">
      <alignment vertical="center" wrapText="1"/>
      <protection/>
    </xf>
    <xf numFmtId="0" fontId="5" fillId="0" borderId="0" xfId="62" applyFont="1" applyAlignment="1">
      <alignment vertical="center" wrapText="1"/>
      <protection/>
    </xf>
    <xf numFmtId="0" fontId="5" fillId="37" borderId="67" xfId="62" applyFont="1" applyFill="1" applyBorder="1" applyAlignment="1">
      <alignment horizontal="center" vertical="center" wrapText="1"/>
      <protection/>
    </xf>
    <xf numFmtId="0" fontId="5" fillId="37" borderId="40" xfId="62" applyFont="1" applyFill="1" applyBorder="1" applyAlignment="1">
      <alignment vertical="center" wrapText="1"/>
      <protection/>
    </xf>
    <xf numFmtId="43" fontId="5" fillId="37" borderId="40" xfId="42" applyFont="1" applyFill="1" applyBorder="1" applyAlignment="1">
      <alignment horizontal="right" vertical="center" wrapText="1"/>
    </xf>
    <xf numFmtId="166" fontId="5" fillId="37" borderId="41" xfId="62" applyNumberFormat="1" applyFont="1" applyFill="1" applyBorder="1" applyAlignment="1">
      <alignment vertical="center" wrapText="1"/>
      <protection/>
    </xf>
    <xf numFmtId="0" fontId="4" fillId="0" borderId="34" xfId="62" applyFont="1" applyBorder="1" applyAlignment="1">
      <alignment horizontal="center" vertical="center" wrapText="1"/>
      <protection/>
    </xf>
    <xf numFmtId="0" fontId="4" fillId="0" borderId="22" xfId="62" applyFont="1" applyBorder="1" applyAlignment="1">
      <alignment vertical="center" wrapText="1"/>
      <protection/>
    </xf>
    <xf numFmtId="43" fontId="4" fillId="0" borderId="22" xfId="42" applyFont="1" applyBorder="1" applyAlignment="1">
      <alignment horizontal="right" vertical="center" wrapText="1"/>
    </xf>
    <xf numFmtId="166" fontId="4" fillId="0" borderId="23" xfId="62" applyNumberFormat="1" applyFont="1" applyBorder="1" applyAlignment="1">
      <alignment vertical="center" wrapText="1"/>
      <protection/>
    </xf>
    <xf numFmtId="39" fontId="4" fillId="0" borderId="22" xfId="42" applyNumberFormat="1" applyFont="1" applyBorder="1" applyAlignment="1">
      <alignment vertical="center" wrapText="1"/>
    </xf>
    <xf numFmtId="0" fontId="4" fillId="0" borderId="30" xfId="62" applyFont="1" applyBorder="1" applyAlignment="1">
      <alignment horizontal="center" vertical="center" wrapText="1"/>
      <protection/>
    </xf>
    <xf numFmtId="0" fontId="4" fillId="0" borderId="31" xfId="62" applyFont="1" applyBorder="1" applyAlignment="1">
      <alignment vertical="center" wrapText="1"/>
      <protection/>
    </xf>
    <xf numFmtId="39" fontId="4" fillId="0" borderId="31" xfId="42" applyNumberFormat="1" applyFont="1" applyBorder="1" applyAlignment="1">
      <alignment vertical="center" wrapText="1"/>
    </xf>
    <xf numFmtId="166" fontId="4" fillId="0" borderId="38" xfId="62" applyNumberFormat="1" applyFont="1" applyBorder="1" applyAlignment="1">
      <alignment vertical="center" wrapText="1"/>
      <protection/>
    </xf>
    <xf numFmtId="39" fontId="5" fillId="37" borderId="40" xfId="42" applyNumberFormat="1" applyFont="1" applyFill="1" applyBorder="1" applyAlignment="1">
      <alignment vertical="center" wrapText="1"/>
    </xf>
    <xf numFmtId="39" fontId="4" fillId="0" borderId="31" xfId="42" applyNumberFormat="1" applyFont="1" applyFill="1" applyBorder="1" applyAlignment="1">
      <alignment vertical="center" wrapText="1"/>
    </xf>
    <xf numFmtId="39" fontId="5" fillId="37" borderId="31" xfId="42" applyNumberFormat="1" applyFont="1" applyFill="1" applyBorder="1" applyAlignment="1">
      <alignment vertical="center" wrapText="1"/>
    </xf>
    <xf numFmtId="0" fontId="5" fillId="37" borderId="58" xfId="62" applyFont="1" applyFill="1" applyBorder="1" applyAlignment="1">
      <alignment horizontal="center" vertical="center" wrapText="1"/>
      <protection/>
    </xf>
    <xf numFmtId="0" fontId="5" fillId="37" borderId="43" xfId="62" applyFont="1" applyFill="1" applyBorder="1" applyAlignment="1">
      <alignment vertical="center" wrapText="1"/>
      <protection/>
    </xf>
    <xf numFmtId="39" fontId="5" fillId="37" borderId="43" xfId="42" applyNumberFormat="1" applyFont="1" applyFill="1" applyBorder="1" applyAlignment="1">
      <alignment vertical="center" wrapText="1"/>
    </xf>
    <xf numFmtId="166" fontId="5" fillId="37" borderId="29" xfId="62" applyNumberFormat="1" applyFont="1" applyFill="1" applyBorder="1" applyAlignment="1">
      <alignment vertical="center" wrapText="1"/>
      <protection/>
    </xf>
    <xf numFmtId="39" fontId="5" fillId="37" borderId="43" xfId="45" applyNumberFormat="1" applyFont="1" applyFill="1" applyBorder="1" applyAlignment="1">
      <alignment vertical="center" wrapText="1"/>
    </xf>
    <xf numFmtId="166" fontId="5" fillId="37" borderId="29" xfId="63" applyNumberFormat="1" applyFont="1" applyFill="1" applyBorder="1" applyAlignment="1">
      <alignment vertical="center" wrapText="1"/>
      <protection/>
    </xf>
    <xf numFmtId="166" fontId="5" fillId="37" borderId="23" xfId="62" applyNumberFormat="1" applyFont="1" applyFill="1" applyBorder="1" applyAlignment="1">
      <alignment vertical="center" wrapText="1"/>
      <protection/>
    </xf>
    <xf numFmtId="0" fontId="5" fillId="37" borderId="62" xfId="62" applyFont="1" applyFill="1" applyBorder="1" applyAlignment="1">
      <alignment horizontal="center" vertical="center" wrapText="1"/>
      <protection/>
    </xf>
    <xf numFmtId="0" fontId="5" fillId="37" borderId="11" xfId="62" applyFont="1" applyFill="1" applyBorder="1" applyAlignment="1">
      <alignment vertical="center" wrapText="1"/>
      <protection/>
    </xf>
    <xf numFmtId="39" fontId="5" fillId="37" borderId="11" xfId="42" applyNumberFormat="1" applyFont="1" applyFill="1" applyBorder="1" applyAlignment="1">
      <alignment vertical="center" wrapText="1"/>
    </xf>
    <xf numFmtId="166" fontId="5" fillId="37" borderId="17" xfId="62" applyNumberFormat="1" applyFont="1" applyFill="1" applyBorder="1" applyAlignment="1">
      <alignment horizontal="center" vertical="center" wrapText="1"/>
      <protection/>
    </xf>
    <xf numFmtId="0" fontId="5" fillId="37" borderId="68" xfId="62" applyFont="1" applyFill="1" applyBorder="1" applyAlignment="1">
      <alignment horizontal="center" vertical="center" wrapText="1"/>
      <protection/>
    </xf>
    <xf numFmtId="0" fontId="5" fillId="37" borderId="36" xfId="62" applyFont="1" applyFill="1" applyBorder="1" applyAlignment="1">
      <alignment vertical="center" wrapText="1"/>
      <protection/>
    </xf>
    <xf numFmtId="39" fontId="5" fillId="37" borderId="36" xfId="42" applyNumberFormat="1" applyFont="1" applyFill="1" applyBorder="1" applyAlignment="1">
      <alignment vertical="center" wrapText="1"/>
    </xf>
    <xf numFmtId="166" fontId="5" fillId="37" borderId="37" xfId="62" applyNumberFormat="1" applyFont="1" applyFill="1" applyBorder="1" applyAlignment="1">
      <alignment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32" xfId="0" applyNumberFormat="1" applyFont="1" applyBorder="1" applyAlignment="1">
      <alignment horizontal="right" vertical="center" wrapText="1"/>
    </xf>
    <xf numFmtId="168" fontId="5" fillId="0" borderId="38" xfId="0" applyNumberFormat="1" applyFont="1" applyBorder="1" applyAlignment="1">
      <alignment vertical="center" wrapText="1"/>
    </xf>
    <xf numFmtId="0" fontId="4" fillId="0" borderId="42" xfId="0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right" vertical="center" wrapText="1"/>
    </xf>
    <xf numFmtId="4" fontId="4" fillId="0" borderId="32" xfId="0" applyNumberFormat="1" applyFont="1" applyBorder="1" applyAlignment="1">
      <alignment horizontal="right" vertical="center" wrapText="1"/>
    </xf>
    <xf numFmtId="168" fontId="4" fillId="0" borderId="38" xfId="0" applyNumberFormat="1" applyFont="1" applyBorder="1" applyAlignment="1">
      <alignment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right" vertical="center" wrapText="1"/>
    </xf>
    <xf numFmtId="168" fontId="4" fillId="0" borderId="29" xfId="0" applyNumberFormat="1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right" vertical="center" wrapText="1"/>
    </xf>
    <xf numFmtId="168" fontId="5" fillId="0" borderId="29" xfId="0" applyNumberFormat="1" applyFont="1" applyBorder="1" applyAlignment="1">
      <alignment vertical="center" wrapText="1"/>
    </xf>
    <xf numFmtId="49" fontId="4" fillId="0" borderId="69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4" fillId="0" borderId="67" xfId="0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righ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0" borderId="28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58" xfId="0" applyFont="1" applyBorder="1" applyAlignment="1">
      <alignment horizontal="center" vertical="center" wrapText="1"/>
    </xf>
    <xf numFmtId="168" fontId="4" fillId="0" borderId="23" xfId="0" applyNumberFormat="1" applyFont="1" applyBorder="1" applyAlignment="1">
      <alignment vertical="center" wrapText="1"/>
    </xf>
    <xf numFmtId="0" fontId="5" fillId="43" borderId="13" xfId="0" applyFont="1" applyFill="1" applyBorder="1" applyAlignment="1">
      <alignment horizontal="center" vertical="center" wrapText="1"/>
    </xf>
    <xf numFmtId="0" fontId="5" fillId="43" borderId="12" xfId="0" applyFont="1" applyFill="1" applyBorder="1" applyAlignment="1">
      <alignment horizontal="center" vertical="center" wrapText="1"/>
    </xf>
    <xf numFmtId="0" fontId="5" fillId="43" borderId="15" xfId="0" applyFont="1" applyFill="1" applyBorder="1" applyAlignment="1">
      <alignment horizontal="center" vertical="center" wrapText="1"/>
    </xf>
    <xf numFmtId="0" fontId="5" fillId="43" borderId="42" xfId="0" applyFont="1" applyFill="1" applyBorder="1" applyAlignment="1">
      <alignment horizontal="center" vertical="center" wrapText="1"/>
    </xf>
    <xf numFmtId="0" fontId="5" fillId="43" borderId="28" xfId="0" applyFont="1" applyFill="1" applyBorder="1" applyAlignment="1">
      <alignment horizontal="center" vertical="center" wrapText="1"/>
    </xf>
    <xf numFmtId="0" fontId="5" fillId="43" borderId="29" xfId="0" applyFont="1" applyFill="1" applyBorder="1" applyAlignment="1">
      <alignment horizontal="center" vertical="center" wrapText="1"/>
    </xf>
    <xf numFmtId="4" fontId="5" fillId="43" borderId="24" xfId="0" applyNumberFormat="1" applyFont="1" applyFill="1" applyBorder="1" applyAlignment="1">
      <alignment horizontal="right" vertical="center" wrapText="1"/>
    </xf>
    <xf numFmtId="168" fontId="5" fillId="43" borderId="26" xfId="0" applyNumberFormat="1" applyFont="1" applyFill="1" applyBorder="1" applyAlignment="1">
      <alignment vertical="center" wrapText="1"/>
    </xf>
    <xf numFmtId="0" fontId="6" fillId="33" borderId="0" xfId="0" applyFont="1" applyFill="1" applyAlignment="1">
      <alignment horizontal="center" vertical="center"/>
    </xf>
    <xf numFmtId="4" fontId="5" fillId="37" borderId="28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4" fillId="0" borderId="70" xfId="0" applyNumberFormat="1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left" vertical="center" wrapText="1"/>
    </xf>
    <xf numFmtId="4" fontId="4" fillId="0" borderId="7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49" fontId="7" fillId="0" borderId="73" xfId="0" applyNumberFormat="1" applyFont="1" applyFill="1" applyBorder="1" applyAlignment="1">
      <alignment horizontal="center" vertical="center"/>
    </xf>
    <xf numFmtId="49" fontId="7" fillId="0" borderId="74" xfId="0" applyNumberFormat="1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left" vertical="center" wrapText="1"/>
    </xf>
    <xf numFmtId="4" fontId="7" fillId="0" borderId="74" xfId="0" applyNumberFormat="1" applyFont="1" applyFill="1" applyBorder="1" applyAlignment="1">
      <alignment horizontal="right" vertical="center"/>
    </xf>
    <xf numFmtId="4" fontId="7" fillId="0" borderId="76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49" fontId="7" fillId="0" borderId="77" xfId="0" applyNumberFormat="1" applyFont="1" applyFill="1" applyBorder="1" applyAlignment="1">
      <alignment horizontal="center" vertical="center"/>
    </xf>
    <xf numFmtId="49" fontId="7" fillId="0" borderId="78" xfId="0" applyNumberFormat="1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left" vertical="center" wrapText="1"/>
    </xf>
    <xf numFmtId="4" fontId="7" fillId="0" borderId="78" xfId="0" applyNumberFormat="1" applyFont="1" applyFill="1" applyBorder="1" applyAlignment="1">
      <alignment horizontal="right" vertical="center"/>
    </xf>
    <xf numFmtId="4" fontId="7" fillId="0" borderId="80" xfId="0" applyNumberFormat="1" applyFont="1" applyFill="1" applyBorder="1" applyAlignment="1">
      <alignment horizontal="right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 wrapText="1"/>
    </xf>
    <xf numFmtId="4" fontId="7" fillId="0" borderId="32" xfId="0" applyNumberFormat="1" applyFont="1" applyFill="1" applyBorder="1" applyAlignment="1">
      <alignment horizontal="right" vertical="center"/>
    </xf>
    <xf numFmtId="4" fontId="7" fillId="0" borderId="46" xfId="0" applyNumberFormat="1" applyFont="1" applyFill="1" applyBorder="1" applyAlignment="1">
      <alignment horizontal="right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left" vertical="center" wrapText="1"/>
    </xf>
    <xf numFmtId="4" fontId="4" fillId="0" borderId="28" xfId="0" applyNumberFormat="1" applyFont="1" applyFill="1" applyBorder="1" applyAlignment="1">
      <alignment horizontal="right" vertical="center"/>
    </xf>
    <xf numFmtId="4" fontId="7" fillId="0" borderId="28" xfId="0" applyNumberFormat="1" applyFont="1" applyFill="1" applyBorder="1" applyAlignment="1">
      <alignment horizontal="right" vertical="center"/>
    </xf>
    <xf numFmtId="4" fontId="7" fillId="0" borderId="43" xfId="0" applyNumberFormat="1" applyFont="1" applyFill="1" applyBorder="1" applyAlignment="1">
      <alignment horizontal="right" vertical="center"/>
    </xf>
    <xf numFmtId="4" fontId="4" fillId="0" borderId="81" xfId="0" applyNumberFormat="1" applyFont="1" applyFill="1" applyBorder="1" applyAlignment="1">
      <alignment horizontal="right" vertical="center"/>
    </xf>
    <xf numFmtId="4" fontId="7" fillId="0" borderId="75" xfId="0" applyNumberFormat="1" applyFont="1" applyFill="1" applyBorder="1" applyAlignment="1">
      <alignment horizontal="right" vertical="center"/>
    </xf>
    <xf numFmtId="4" fontId="7" fillId="0" borderId="82" xfId="0" applyNumberFormat="1" applyFont="1" applyBorder="1" applyAlignment="1">
      <alignment vertical="center"/>
    </xf>
    <xf numFmtId="4" fontId="7" fillId="0" borderId="31" xfId="0" applyNumberFormat="1" applyFont="1" applyFill="1" applyBorder="1" applyAlignment="1">
      <alignment horizontal="right" vertical="center"/>
    </xf>
    <xf numFmtId="4" fontId="4" fillId="0" borderId="43" xfId="0" applyNumberFormat="1" applyFont="1" applyFill="1" applyBorder="1" applyAlignment="1">
      <alignment horizontal="right" vertical="center"/>
    </xf>
    <xf numFmtId="4" fontId="4" fillId="0" borderId="29" xfId="0" applyNumberFormat="1" applyFont="1" applyBorder="1" applyAlignment="1">
      <alignment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 vertical="center"/>
    </xf>
    <xf numFmtId="4" fontId="4" fillId="0" borderId="24" xfId="0" applyNumberFormat="1" applyFont="1" applyFill="1" applyBorder="1" applyAlignment="1">
      <alignment horizontal="right" vertical="center"/>
    </xf>
    <xf numFmtId="4" fontId="4" fillId="0" borderId="26" xfId="0" applyNumberFormat="1" applyFont="1" applyBorder="1" applyAlignment="1">
      <alignment vertical="center"/>
    </xf>
    <xf numFmtId="4" fontId="5" fillId="35" borderId="33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43" borderId="28" xfId="0" applyFont="1" applyFill="1" applyBorder="1" applyAlignment="1">
      <alignment horizontal="center" vertical="center" wrapText="1"/>
    </xf>
    <xf numFmtId="0" fontId="5" fillId="43" borderId="28" xfId="0" applyFont="1" applyFill="1" applyBorder="1" applyAlignment="1">
      <alignment horizontal="center" vertical="center"/>
    </xf>
    <xf numFmtId="0" fontId="5" fillId="43" borderId="43" xfId="0" applyFont="1" applyFill="1" applyBorder="1" applyAlignment="1">
      <alignment horizontal="center" vertical="center" wrapText="1"/>
    </xf>
    <xf numFmtId="49" fontId="6" fillId="43" borderId="83" xfId="0" applyNumberFormat="1" applyFont="1" applyFill="1" applyBorder="1" applyAlignment="1">
      <alignment horizontal="center" vertical="center"/>
    </xf>
    <xf numFmtId="49" fontId="6" fillId="43" borderId="84" xfId="0" applyNumberFormat="1" applyFont="1" applyFill="1" applyBorder="1" applyAlignment="1">
      <alignment horizontal="center" vertical="center"/>
    </xf>
    <xf numFmtId="0" fontId="6" fillId="43" borderId="40" xfId="0" applyFont="1" applyFill="1" applyBorder="1" applyAlignment="1">
      <alignment horizontal="center" vertical="center"/>
    </xf>
    <xf numFmtId="0" fontId="6" fillId="43" borderId="84" xfId="0" applyFont="1" applyFill="1" applyBorder="1" applyAlignment="1">
      <alignment horizontal="center" vertical="center"/>
    </xf>
    <xf numFmtId="0" fontId="6" fillId="43" borderId="41" xfId="0" applyFont="1" applyFill="1" applyBorder="1" applyAlignment="1">
      <alignment horizontal="center" vertical="center"/>
    </xf>
    <xf numFmtId="4" fontId="5" fillId="37" borderId="29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 vertical="center"/>
    </xf>
    <xf numFmtId="4" fontId="4" fillId="0" borderId="81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4" fontId="5" fillId="35" borderId="26" xfId="0" applyNumberFormat="1" applyFont="1" applyFill="1" applyBorder="1" applyAlignment="1">
      <alignment horizontal="right" vertical="center"/>
    </xf>
    <xf numFmtId="4" fontId="4" fillId="0" borderId="82" xfId="0" applyNumberFormat="1" applyFont="1" applyBorder="1" applyAlignment="1">
      <alignment vertical="center"/>
    </xf>
    <xf numFmtId="0" fontId="4" fillId="0" borderId="0" xfId="59" applyFont="1" applyAlignment="1">
      <alignment horizontal="center" vertical="center"/>
      <protection/>
    </xf>
    <xf numFmtId="0" fontId="4" fillId="0" borderId="0" xfId="59" applyFont="1" applyAlignment="1">
      <alignment vertical="center"/>
      <protection/>
    </xf>
    <xf numFmtId="0" fontId="5" fillId="0" borderId="0" xfId="59" applyFont="1" applyAlignment="1">
      <alignment horizontal="center" vertical="center"/>
      <protection/>
    </xf>
    <xf numFmtId="0" fontId="4" fillId="0" borderId="0" xfId="59" applyFont="1" applyAlignment="1">
      <alignment horizontal="right" vertical="center"/>
      <protection/>
    </xf>
    <xf numFmtId="4" fontId="4" fillId="0" borderId="0" xfId="59" applyNumberFormat="1" applyFont="1" applyAlignment="1">
      <alignment horizontal="right" vertical="center"/>
      <protection/>
    </xf>
    <xf numFmtId="4" fontId="4" fillId="0" borderId="0" xfId="59" applyNumberFormat="1" applyFont="1" applyAlignment="1">
      <alignment horizontal="right"/>
      <protection/>
    </xf>
    <xf numFmtId="1" fontId="5" fillId="33" borderId="28" xfId="59" applyNumberFormat="1" applyFont="1" applyFill="1" applyBorder="1" applyAlignment="1">
      <alignment horizontal="center" vertical="center"/>
      <protection/>
    </xf>
    <xf numFmtId="1" fontId="5" fillId="33" borderId="28" xfId="59" applyNumberFormat="1" applyFont="1" applyFill="1" applyBorder="1" applyAlignment="1">
      <alignment horizontal="center" vertical="center" wrapText="1"/>
      <protection/>
    </xf>
    <xf numFmtId="1" fontId="5" fillId="0" borderId="0" xfId="59" applyNumberFormat="1" applyFont="1" applyAlignment="1">
      <alignment horizontal="center" vertical="center"/>
      <protection/>
    </xf>
    <xf numFmtId="0" fontId="4" fillId="0" borderId="28" xfId="0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3" fontId="4" fillId="34" borderId="28" xfId="0" applyNumberFormat="1" applyFont="1" applyFill="1" applyBorder="1" applyAlignment="1">
      <alignment horizontal="right" vertical="center" wrapText="1"/>
    </xf>
    <xf numFmtId="0" fontId="4" fillId="0" borderId="28" xfId="0" applyFont="1" applyBorder="1" applyAlignment="1">
      <alignment horizontal="left" vertical="center" wrapText="1"/>
    </xf>
    <xf numFmtId="4" fontId="4" fillId="0" borderId="28" xfId="59" applyNumberFormat="1" applyFont="1" applyBorder="1" applyAlignment="1">
      <alignment vertical="center"/>
      <protection/>
    </xf>
    <xf numFmtId="4" fontId="4" fillId="0" borderId="0" xfId="59" applyNumberFormat="1" applyFont="1" applyAlignment="1">
      <alignment vertical="center"/>
      <protection/>
    </xf>
    <xf numFmtId="0" fontId="4" fillId="0" borderId="28" xfId="0" applyFont="1" applyBorder="1" applyAlignment="1">
      <alignment horizontal="left" vertical="center"/>
    </xf>
    <xf numFmtId="3" fontId="4" fillId="0" borderId="0" xfId="59" applyNumberFormat="1" applyFont="1" applyAlignment="1">
      <alignment vertical="center"/>
      <protection/>
    </xf>
    <xf numFmtId="0" fontId="5" fillId="0" borderId="0" xfId="59" applyFont="1" applyAlignment="1">
      <alignment vertical="center"/>
      <protection/>
    </xf>
    <xf numFmtId="0" fontId="5" fillId="33" borderId="13" xfId="59" applyFont="1" applyFill="1" applyBorder="1" applyAlignment="1">
      <alignment horizontal="center" vertical="center"/>
      <protection/>
    </xf>
    <xf numFmtId="0" fontId="5" fillId="33" borderId="12" xfId="59" applyFont="1" applyFill="1" applyBorder="1" applyAlignment="1">
      <alignment horizontal="center" vertical="center"/>
      <protection/>
    </xf>
    <xf numFmtId="0" fontId="5" fillId="33" borderId="12" xfId="59" applyFont="1" applyFill="1" applyBorder="1" applyAlignment="1">
      <alignment horizontal="center" vertical="center" wrapText="1"/>
      <protection/>
    </xf>
    <xf numFmtId="4" fontId="5" fillId="33" borderId="12" xfId="59" applyNumberFormat="1" applyFont="1" applyFill="1" applyBorder="1" applyAlignment="1">
      <alignment horizontal="center" vertical="center" wrapText="1"/>
      <protection/>
    </xf>
    <xf numFmtId="0" fontId="5" fillId="33" borderId="15" xfId="59" applyFont="1" applyFill="1" applyBorder="1" applyAlignment="1">
      <alignment horizontal="center" vertical="center"/>
      <protection/>
    </xf>
    <xf numFmtId="1" fontId="5" fillId="33" borderId="42" xfId="59" applyNumberFormat="1" applyFont="1" applyFill="1" applyBorder="1" applyAlignment="1">
      <alignment horizontal="center" vertical="center"/>
      <protection/>
    </xf>
    <xf numFmtId="1" fontId="5" fillId="33" borderId="29" xfId="59" applyNumberFormat="1" applyFont="1" applyFill="1" applyBorder="1" applyAlignment="1">
      <alignment horizontal="center" vertical="center"/>
      <protection/>
    </xf>
    <xf numFmtId="1" fontId="4" fillId="0" borderId="42" xfId="59" applyNumberFormat="1" applyFont="1" applyFill="1" applyBorder="1" applyAlignment="1">
      <alignment horizontal="center" vertical="center"/>
      <protection/>
    </xf>
    <xf numFmtId="168" fontId="4" fillId="0" borderId="29" xfId="59" applyNumberFormat="1" applyFont="1" applyBorder="1" applyAlignment="1">
      <alignment vertical="center"/>
      <protection/>
    </xf>
    <xf numFmtId="3" fontId="5" fillId="0" borderId="10" xfId="59" applyNumberFormat="1" applyFont="1" applyBorder="1" applyAlignment="1">
      <alignment vertical="center"/>
      <protection/>
    </xf>
    <xf numFmtId="49" fontId="7" fillId="0" borderId="85" xfId="0" applyNumberFormat="1" applyFont="1" applyFill="1" applyBorder="1" applyAlignment="1">
      <alignment horizontal="center" vertical="center"/>
    </xf>
    <xf numFmtId="49" fontId="7" fillId="0" borderId="86" xfId="0" applyNumberFormat="1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left" vertical="center" wrapText="1"/>
    </xf>
    <xf numFmtId="4" fontId="7" fillId="0" borderId="86" xfId="0" applyNumberFormat="1" applyFont="1" applyFill="1" applyBorder="1" applyAlignment="1">
      <alignment horizontal="right" vertical="center"/>
    </xf>
    <xf numFmtId="4" fontId="7" fillId="0" borderId="88" xfId="0" applyNumberFormat="1" applyFont="1" applyBorder="1" applyAlignment="1">
      <alignment vertical="center"/>
    </xf>
    <xf numFmtId="168" fontId="5" fillId="0" borderId="17" xfId="59" applyNumberFormat="1" applyFont="1" applyBorder="1" applyAlignment="1">
      <alignment vertical="center"/>
      <protection/>
    </xf>
    <xf numFmtId="4" fontId="76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right" vertical="center"/>
    </xf>
    <xf numFmtId="0" fontId="4" fillId="0" borderId="44" xfId="0" applyFont="1" applyBorder="1" applyAlignment="1">
      <alignment horizontal="right"/>
    </xf>
    <xf numFmtId="4" fontId="4" fillId="0" borderId="0" xfId="0" applyNumberFormat="1" applyFont="1" applyFill="1" applyAlignment="1">
      <alignment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68" fontId="5" fillId="0" borderId="29" xfId="0" applyNumberFormat="1" applyFont="1" applyBorder="1" applyAlignment="1">
      <alignment vertical="center"/>
    </xf>
    <xf numFmtId="0" fontId="11" fillId="0" borderId="28" xfId="0" applyFont="1" applyBorder="1" applyAlignment="1">
      <alignment vertical="center" wrapText="1"/>
    </xf>
    <xf numFmtId="168" fontId="4" fillId="38" borderId="29" xfId="0" applyNumberFormat="1" applyFont="1" applyFill="1" applyBorder="1" applyAlignment="1">
      <alignment vertical="center"/>
    </xf>
    <xf numFmtId="0" fontId="5" fillId="38" borderId="0" xfId="0" applyFont="1" applyFill="1" applyAlignment="1">
      <alignment vertical="center"/>
    </xf>
    <xf numFmtId="168" fontId="5" fillId="37" borderId="26" xfId="0" applyNumberFormat="1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4" fontId="4" fillId="38" borderId="32" xfId="0" applyNumberFormat="1" applyFont="1" applyFill="1" applyBorder="1" applyAlignment="1">
      <alignment vertical="center"/>
    </xf>
    <xf numFmtId="4" fontId="4" fillId="38" borderId="31" xfId="0" applyNumberFormat="1" applyFont="1" applyFill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168" fontId="4" fillId="38" borderId="38" xfId="0" applyNumberFormat="1" applyFont="1" applyFill="1" applyBorder="1" applyAlignment="1">
      <alignment vertical="center"/>
    </xf>
    <xf numFmtId="4" fontId="4" fillId="0" borderId="43" xfId="0" applyNumberFormat="1" applyFont="1" applyFill="1" applyBorder="1" applyAlignment="1">
      <alignment vertical="center"/>
    </xf>
    <xf numFmtId="168" fontId="4" fillId="0" borderId="29" xfId="0" applyNumberFormat="1" applyFont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4" fontId="4" fillId="38" borderId="20" xfId="0" applyNumberFormat="1" applyFont="1" applyFill="1" applyBorder="1" applyAlignment="1">
      <alignment vertical="center"/>
    </xf>
    <xf numFmtId="0" fontId="4" fillId="0" borderId="60" xfId="0" applyFont="1" applyBorder="1" applyAlignment="1">
      <alignment horizontal="center" vertical="center"/>
    </xf>
    <xf numFmtId="0" fontId="4" fillId="0" borderId="89" xfId="0" applyFont="1" applyBorder="1" applyAlignment="1">
      <alignment vertical="center" wrapText="1"/>
    </xf>
    <xf numFmtId="4" fontId="4" fillId="38" borderId="60" xfId="0" applyNumberFormat="1" applyFont="1" applyFill="1" applyBorder="1" applyAlignment="1">
      <alignment vertical="center"/>
    </xf>
    <xf numFmtId="168" fontId="4" fillId="38" borderId="65" xfId="0" applyNumberFormat="1" applyFont="1" applyFill="1" applyBorder="1" applyAlignment="1">
      <alignment vertical="center"/>
    </xf>
    <xf numFmtId="49" fontId="4" fillId="0" borderId="28" xfId="0" applyNumberFormat="1" applyFont="1" applyBorder="1" applyAlignment="1">
      <alignment horizontal="center" vertical="center"/>
    </xf>
    <xf numFmtId="4" fontId="5" fillId="0" borderId="0" xfId="0" applyNumberFormat="1" applyFont="1" applyFill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0" fillId="38" borderId="0" xfId="0" applyFont="1" applyFill="1" applyAlignment="1">
      <alignment vertical="center"/>
    </xf>
    <xf numFmtId="4" fontId="5" fillId="38" borderId="0" xfId="0" applyNumberFormat="1" applyFont="1" applyFill="1" applyAlignment="1">
      <alignment horizontal="right" vertical="center"/>
    </xf>
    <xf numFmtId="0" fontId="5" fillId="38" borderId="34" xfId="0" applyFont="1" applyFill="1" applyBorder="1" applyAlignment="1">
      <alignment horizontal="left" vertical="center" wrapText="1"/>
    </xf>
    <xf numFmtId="0" fontId="5" fillId="38" borderId="0" xfId="0" applyFont="1" applyFill="1" applyAlignment="1">
      <alignment vertical="center" wrapText="1"/>
    </xf>
    <xf numFmtId="4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4" fontId="5" fillId="0" borderId="84" xfId="0" applyNumberFormat="1" applyFont="1" applyBorder="1" applyAlignment="1">
      <alignment vertical="center"/>
    </xf>
    <xf numFmtId="0" fontId="4" fillId="0" borderId="60" xfId="0" applyFont="1" applyFill="1" applyBorder="1" applyAlignment="1">
      <alignment vertical="center" wrapText="1"/>
    </xf>
    <xf numFmtId="4" fontId="5" fillId="0" borderId="32" xfId="0" applyNumberFormat="1" applyFont="1" applyBorder="1" applyAlignment="1">
      <alignment vertical="center"/>
    </xf>
    <xf numFmtId="168" fontId="5" fillId="0" borderId="38" xfId="0" applyNumberFormat="1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4" fillId="0" borderId="60" xfId="0" applyFont="1" applyBorder="1" applyAlignment="1">
      <alignment vertical="center" wrapText="1"/>
    </xf>
    <xf numFmtId="168" fontId="4" fillId="0" borderId="65" xfId="0" applyNumberFormat="1" applyFont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168" fontId="10" fillId="35" borderId="38" xfId="0" applyNumberFormat="1" applyFont="1" applyFill="1" applyBorder="1" applyAlignment="1">
      <alignment vertical="center"/>
    </xf>
    <xf numFmtId="4" fontId="10" fillId="0" borderId="0" xfId="0" applyNumberFormat="1" applyFont="1" applyAlignment="1">
      <alignment vertical="center"/>
    </xf>
    <xf numFmtId="168" fontId="10" fillId="35" borderId="65" xfId="0" applyNumberFormat="1" applyFont="1" applyFill="1" applyBorder="1" applyAlignment="1">
      <alignment vertical="center"/>
    </xf>
    <xf numFmtId="168" fontId="5" fillId="35" borderId="26" xfId="0" applyNumberFormat="1" applyFont="1" applyFill="1" applyBorder="1" applyAlignment="1">
      <alignment vertical="center"/>
    </xf>
    <xf numFmtId="0" fontId="5" fillId="36" borderId="39" xfId="0" applyFont="1" applyFill="1" applyBorder="1" applyAlignment="1">
      <alignment horizontal="center" vertical="center"/>
    </xf>
    <xf numFmtId="0" fontId="5" fillId="36" borderId="58" xfId="0" applyFont="1" applyFill="1" applyBorder="1" applyAlignment="1">
      <alignment horizontal="center" vertical="center"/>
    </xf>
    <xf numFmtId="4" fontId="5" fillId="0" borderId="10" xfId="59" applyNumberFormat="1" applyFont="1" applyBorder="1" applyAlignment="1">
      <alignment vertical="center"/>
      <protection/>
    </xf>
    <xf numFmtId="164" fontId="4" fillId="0" borderId="0" xfId="0" applyNumberFormat="1" applyFont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164" fontId="5" fillId="33" borderId="14" xfId="0" applyNumberFormat="1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64" fontId="5" fillId="33" borderId="11" xfId="0" applyNumberFormat="1" applyFont="1" applyFill="1" applyBorder="1" applyAlignment="1">
      <alignment horizontal="center" vertical="center"/>
    </xf>
    <xf numFmtId="3" fontId="5" fillId="33" borderId="17" xfId="0" applyNumberFormat="1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vertical="center" wrapText="1"/>
    </xf>
    <xf numFmtId="4" fontId="5" fillId="39" borderId="14" xfId="0" applyNumberFormat="1" applyFont="1" applyFill="1" applyBorder="1" applyAlignment="1">
      <alignment horizontal="right" vertical="center"/>
    </xf>
    <xf numFmtId="0" fontId="5" fillId="40" borderId="58" xfId="0" applyFont="1" applyFill="1" applyBorder="1" applyAlignment="1">
      <alignment horizontal="center" vertical="center"/>
    </xf>
    <xf numFmtId="0" fontId="5" fillId="40" borderId="43" xfId="0" applyFont="1" applyFill="1" applyBorder="1" applyAlignment="1">
      <alignment vertical="center"/>
    </xf>
    <xf numFmtId="4" fontId="5" fillId="40" borderId="43" xfId="0" applyNumberFormat="1" applyFont="1" applyFill="1" applyBorder="1" applyAlignment="1">
      <alignment horizontal="right" vertical="center"/>
    </xf>
    <xf numFmtId="168" fontId="5" fillId="40" borderId="29" xfId="0" applyNumberFormat="1" applyFont="1" applyFill="1" applyBorder="1" applyAlignment="1">
      <alignment horizontal="right" vertical="center"/>
    </xf>
    <xf numFmtId="49" fontId="7" fillId="0" borderId="22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8" fontId="7" fillId="0" borderId="23" xfId="0" applyNumberFormat="1" applyFont="1" applyBorder="1" applyAlignment="1">
      <alignment horizontal="right" vertical="center"/>
    </xf>
    <xf numFmtId="0" fontId="4" fillId="38" borderId="10" xfId="0" applyFont="1" applyFill="1" applyBorder="1" applyAlignment="1">
      <alignment vertical="center"/>
    </xf>
    <xf numFmtId="168" fontId="4" fillId="0" borderId="17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vertical="center" wrapText="1"/>
    </xf>
    <xf numFmtId="4" fontId="4" fillId="0" borderId="31" xfId="0" applyNumberFormat="1" applyFont="1" applyBorder="1" applyAlignment="1">
      <alignment horizontal="right" vertical="center"/>
    </xf>
    <xf numFmtId="168" fontId="4" fillId="0" borderId="38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" fontId="4" fillId="0" borderId="20" xfId="0" applyNumberFormat="1" applyFont="1" applyBorder="1" applyAlignment="1">
      <alignment horizontal="right" vertical="center"/>
    </xf>
    <xf numFmtId="168" fontId="4" fillId="0" borderId="20" xfId="0" applyNumberFormat="1" applyFont="1" applyBorder="1" applyAlignment="1">
      <alignment vertical="center"/>
    </xf>
    <xf numFmtId="4" fontId="4" fillId="0" borderId="32" xfId="0" applyNumberFormat="1" applyFont="1" applyBorder="1" applyAlignment="1">
      <alignment horizontal="right" vertical="center"/>
    </xf>
    <xf numFmtId="168" fontId="4" fillId="0" borderId="32" xfId="0" applyNumberFormat="1" applyFont="1" applyBorder="1" applyAlignment="1">
      <alignment vertical="center"/>
    </xf>
    <xf numFmtId="0" fontId="5" fillId="37" borderId="43" xfId="0" applyFont="1" applyFill="1" applyBorder="1" applyAlignment="1">
      <alignment vertical="center" wrapText="1"/>
    </xf>
    <xf numFmtId="168" fontId="5" fillId="37" borderId="28" xfId="0" applyNumberFormat="1" applyFont="1" applyFill="1" applyBorder="1" applyAlignment="1">
      <alignment horizontal="center" vertical="center"/>
    </xf>
    <xf numFmtId="4" fontId="5" fillId="35" borderId="33" xfId="0" applyNumberFormat="1" applyFont="1" applyFill="1" applyBorder="1" applyAlignment="1">
      <alignment horizontal="right" vertical="center"/>
    </xf>
    <xf numFmtId="166" fontId="5" fillId="35" borderId="26" xfId="0" applyNumberFormat="1" applyFont="1" applyFill="1" applyBorder="1" applyAlignment="1">
      <alignment vertical="center"/>
    </xf>
    <xf numFmtId="0" fontId="4" fillId="0" borderId="0" xfId="64" applyFont="1" applyAlignment="1">
      <alignment vertical="center"/>
      <protection/>
    </xf>
    <xf numFmtId="0" fontId="5" fillId="38" borderId="0" xfId="64" applyFont="1" applyFill="1" applyAlignment="1">
      <alignment horizontal="right" vertical="center"/>
      <protection/>
    </xf>
    <xf numFmtId="0" fontId="5" fillId="0" borderId="0" xfId="64" applyFont="1" applyAlignment="1">
      <alignment horizontal="center" vertical="center" wrapText="1"/>
      <protection/>
    </xf>
    <xf numFmtId="0" fontId="4" fillId="0" borderId="0" xfId="64" applyFont="1" applyAlignment="1">
      <alignment horizontal="center" vertical="center"/>
      <protection/>
    </xf>
    <xf numFmtId="0" fontId="4" fillId="0" borderId="0" xfId="64" applyFont="1" applyAlignment="1">
      <alignment horizontal="right" vertical="center"/>
      <protection/>
    </xf>
    <xf numFmtId="0" fontId="4" fillId="0" borderId="0" xfId="64" applyFont="1" applyAlignment="1">
      <alignment vertical="center" wrapText="1"/>
      <protection/>
    </xf>
    <xf numFmtId="0" fontId="5" fillId="44" borderId="28" xfId="64" applyFont="1" applyFill="1" applyBorder="1" applyAlignment="1">
      <alignment horizontal="center" vertical="center"/>
      <protection/>
    </xf>
    <xf numFmtId="0" fontId="5" fillId="44" borderId="29" xfId="64" applyFont="1" applyFill="1" applyBorder="1" applyAlignment="1">
      <alignment horizontal="center" vertical="center"/>
      <protection/>
    </xf>
    <xf numFmtId="0" fontId="5" fillId="0" borderId="0" xfId="64" applyFont="1" applyAlignment="1">
      <alignment vertical="center"/>
      <protection/>
    </xf>
    <xf numFmtId="0" fontId="6" fillId="44" borderId="42" xfId="64" applyFont="1" applyFill="1" applyBorder="1" applyAlignment="1">
      <alignment horizontal="center" vertical="center" wrapText="1"/>
      <protection/>
    </xf>
    <xf numFmtId="0" fontId="6" fillId="44" borderId="28" xfId="64" applyFont="1" applyFill="1" applyBorder="1" applyAlignment="1">
      <alignment horizontal="center" vertical="center" wrapText="1"/>
      <protection/>
    </xf>
    <xf numFmtId="0" fontId="6" fillId="44" borderId="28" xfId="64" applyFont="1" applyFill="1" applyBorder="1" applyAlignment="1">
      <alignment horizontal="center" vertical="center"/>
      <protection/>
    </xf>
    <xf numFmtId="0" fontId="6" fillId="44" borderId="29" xfId="64" applyFont="1" applyFill="1" applyBorder="1" applyAlignment="1">
      <alignment horizontal="center" vertical="center"/>
      <protection/>
    </xf>
    <xf numFmtId="0" fontId="6" fillId="0" borderId="0" xfId="64" applyFont="1" applyAlignment="1">
      <alignment vertical="center"/>
      <protection/>
    </xf>
    <xf numFmtId="0" fontId="5" fillId="33" borderId="0" xfId="64" applyFont="1" applyFill="1" applyAlignment="1">
      <alignment vertical="center"/>
      <protection/>
    </xf>
    <xf numFmtId="0" fontId="5" fillId="33" borderId="28" xfId="64" applyFont="1" applyFill="1" applyBorder="1" applyAlignment="1">
      <alignment horizontal="center" vertical="center"/>
      <protection/>
    </xf>
    <xf numFmtId="0" fontId="5" fillId="33" borderId="29" xfId="64" applyFont="1" applyFill="1" applyBorder="1" applyAlignment="1">
      <alignment horizontal="center" vertical="center"/>
      <protection/>
    </xf>
    <xf numFmtId="0" fontId="5" fillId="33" borderId="42" xfId="64" applyFont="1" applyFill="1" applyBorder="1" applyAlignment="1">
      <alignment horizontal="center" vertical="center" wrapText="1"/>
      <protection/>
    </xf>
    <xf numFmtId="0" fontId="5" fillId="33" borderId="28" xfId="64" applyFont="1" applyFill="1" applyBorder="1" applyAlignment="1">
      <alignment horizontal="center" vertical="center" wrapText="1"/>
      <protection/>
    </xf>
    <xf numFmtId="4" fontId="5" fillId="37" borderId="28" xfId="64" applyNumberFormat="1" applyFont="1" applyFill="1" applyBorder="1" applyAlignment="1">
      <alignment vertical="center"/>
      <protection/>
    </xf>
    <xf numFmtId="4" fontId="5" fillId="37" borderId="29" xfId="64" applyNumberFormat="1" applyFont="1" applyFill="1" applyBorder="1" applyAlignment="1">
      <alignment vertical="center"/>
      <protection/>
    </xf>
    <xf numFmtId="0" fontId="4" fillId="0" borderId="42" xfId="64" applyFont="1" applyFill="1" applyBorder="1" applyAlignment="1">
      <alignment horizontal="center" vertical="center"/>
      <protection/>
    </xf>
    <xf numFmtId="49" fontId="4" fillId="0" borderId="28" xfId="64" applyNumberFormat="1" applyFont="1" applyFill="1" applyBorder="1" applyAlignment="1">
      <alignment horizontal="center" vertical="center"/>
      <protection/>
    </xf>
    <xf numFmtId="4" fontId="4" fillId="0" borderId="28" xfId="64" applyNumberFormat="1" applyFont="1" applyFill="1" applyBorder="1" applyAlignment="1">
      <alignment vertical="center"/>
      <protection/>
    </xf>
    <xf numFmtId="4" fontId="4" fillId="0" borderId="29" xfId="64" applyNumberFormat="1" applyFont="1" applyFill="1" applyBorder="1" applyAlignment="1">
      <alignment vertical="center"/>
      <protection/>
    </xf>
    <xf numFmtId="0" fontId="4" fillId="33" borderId="0" xfId="64" applyFont="1" applyFill="1" applyAlignment="1">
      <alignment vertical="center"/>
      <protection/>
    </xf>
    <xf numFmtId="4" fontId="4" fillId="33" borderId="0" xfId="64" applyNumberFormat="1" applyFont="1" applyFill="1" applyAlignment="1">
      <alignment vertical="center"/>
      <protection/>
    </xf>
    <xf numFmtId="0" fontId="4" fillId="0" borderId="58" xfId="64" applyFont="1" applyFill="1" applyBorder="1" applyAlignment="1">
      <alignment horizontal="center" vertical="center"/>
      <protection/>
    </xf>
    <xf numFmtId="0" fontId="5" fillId="0" borderId="0" xfId="64" applyFont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Alignment="1">
      <alignment vertical="center"/>
      <protection/>
    </xf>
    <xf numFmtId="0" fontId="5" fillId="0" borderId="0" xfId="60" applyFont="1" applyAlignment="1">
      <alignment horizontal="left" vertical="center"/>
      <protection/>
    </xf>
    <xf numFmtId="166" fontId="5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5" fillId="0" borderId="28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4" fontId="4" fillId="0" borderId="71" xfId="60" applyNumberFormat="1" applyFont="1" applyBorder="1" applyAlignment="1">
      <alignment horizontal="right" vertical="center"/>
      <protection/>
    </xf>
    <xf numFmtId="166" fontId="4" fillId="0" borderId="71" xfId="60" applyNumberFormat="1" applyFont="1" applyBorder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7" fillId="0" borderId="74" xfId="0" applyFont="1" applyBorder="1" applyAlignment="1">
      <alignment horizontal="right"/>
    </xf>
    <xf numFmtId="4" fontId="7" fillId="0" borderId="74" xfId="60" applyNumberFormat="1" applyFont="1" applyBorder="1" applyAlignment="1">
      <alignment horizontal="right" vertical="center"/>
      <protection/>
    </xf>
    <xf numFmtId="166" fontId="7" fillId="0" borderId="74" xfId="60" applyNumberFormat="1" applyFont="1" applyBorder="1" applyAlignment="1">
      <alignment vertical="center"/>
      <protection/>
    </xf>
    <xf numFmtId="0" fontId="7" fillId="0" borderId="32" xfId="60" applyFont="1" applyBorder="1" applyAlignment="1">
      <alignment horizontal="right" vertical="center"/>
      <protection/>
    </xf>
    <xf numFmtId="4" fontId="7" fillId="0" borderId="32" xfId="60" applyNumberFormat="1" applyFont="1" applyBorder="1" applyAlignment="1">
      <alignment horizontal="right" vertical="center"/>
      <protection/>
    </xf>
    <xf numFmtId="166" fontId="7" fillId="0" borderId="32" xfId="60" applyNumberFormat="1" applyFont="1" applyBorder="1" applyAlignment="1">
      <alignment vertical="center"/>
      <protection/>
    </xf>
    <xf numFmtId="4" fontId="5" fillId="0" borderId="28" xfId="60" applyNumberFormat="1" applyFont="1" applyFill="1" applyBorder="1" applyAlignment="1">
      <alignment horizontal="right" vertical="center"/>
      <protection/>
    </xf>
    <xf numFmtId="166" fontId="5" fillId="0" borderId="28" xfId="60" applyNumberFormat="1" applyFont="1" applyFill="1" applyBorder="1" applyAlignment="1">
      <alignment vertical="center"/>
      <protection/>
    </xf>
    <xf numFmtId="0" fontId="5" fillId="35" borderId="0" xfId="60" applyFont="1" applyFill="1" applyAlignment="1">
      <alignment horizontal="center" vertical="center"/>
      <protection/>
    </xf>
    <xf numFmtId="4" fontId="5" fillId="36" borderId="28" xfId="60" applyNumberFormat="1" applyFont="1" applyFill="1" applyBorder="1" applyAlignment="1">
      <alignment vertical="center"/>
      <protection/>
    </xf>
    <xf numFmtId="166" fontId="5" fillId="36" borderId="28" xfId="60" applyNumberFormat="1" applyFont="1" applyFill="1" applyBorder="1" applyAlignment="1">
      <alignment vertical="center"/>
      <protection/>
    </xf>
    <xf numFmtId="0" fontId="5" fillId="35" borderId="0" xfId="60" applyFont="1" applyFill="1" applyAlignment="1">
      <alignment vertical="center"/>
      <protection/>
    </xf>
    <xf numFmtId="0" fontId="4" fillId="38" borderId="71" xfId="60" applyFont="1" applyFill="1" applyBorder="1" applyAlignment="1">
      <alignment horizontal="left" vertical="center" wrapText="1"/>
      <protection/>
    </xf>
    <xf numFmtId="0" fontId="5" fillId="0" borderId="0" xfId="60" applyFont="1" applyBorder="1" applyAlignment="1">
      <alignment vertical="center"/>
      <protection/>
    </xf>
    <xf numFmtId="4" fontId="5" fillId="35" borderId="0" xfId="60" applyNumberFormat="1" applyFont="1" applyFill="1" applyBorder="1" applyAlignment="1">
      <alignment horizontal="center" vertical="center"/>
      <protection/>
    </xf>
    <xf numFmtId="0" fontId="5" fillId="35" borderId="0" xfId="60" applyFont="1" applyFill="1" applyBorder="1" applyAlignment="1">
      <alignment horizontal="center" vertical="center"/>
      <protection/>
    </xf>
    <xf numFmtId="0" fontId="4" fillId="0" borderId="0" xfId="60" applyFont="1" applyBorder="1" applyAlignment="1">
      <alignment vertical="center"/>
      <protection/>
    </xf>
    <xf numFmtId="0" fontId="4" fillId="38" borderId="0" xfId="60" applyFont="1" applyFill="1" applyBorder="1" applyAlignment="1">
      <alignment horizontal="left" vertical="center" wrapText="1"/>
      <protection/>
    </xf>
    <xf numFmtId="4" fontId="4" fillId="0" borderId="0" xfId="60" applyNumberFormat="1" applyFont="1" applyBorder="1" applyAlignment="1">
      <alignment horizontal="right" vertical="center"/>
      <protection/>
    </xf>
    <xf numFmtId="166" fontId="4" fillId="0" borderId="0" xfId="60" applyNumberFormat="1" applyFont="1" applyBorder="1" applyAlignment="1">
      <alignment vertical="center"/>
      <protection/>
    </xf>
    <xf numFmtId="0" fontId="7" fillId="0" borderId="0" xfId="0" applyFont="1" applyBorder="1" applyAlignment="1">
      <alignment horizontal="right"/>
    </xf>
    <xf numFmtId="4" fontId="7" fillId="0" borderId="0" xfId="60" applyNumberFormat="1" applyFont="1" applyBorder="1" applyAlignment="1">
      <alignment horizontal="right" vertical="center"/>
      <protection/>
    </xf>
    <xf numFmtId="166" fontId="7" fillId="0" borderId="0" xfId="60" applyNumberFormat="1" applyFont="1" applyBorder="1" applyAlignment="1">
      <alignment vertical="center"/>
      <protection/>
    </xf>
    <xf numFmtId="0" fontId="7" fillId="0" borderId="0" xfId="60" applyFont="1" applyBorder="1" applyAlignment="1">
      <alignment horizontal="right" vertical="center"/>
      <protection/>
    </xf>
    <xf numFmtId="4" fontId="5" fillId="35" borderId="0" xfId="60" applyNumberFormat="1" applyFont="1" applyFill="1" applyBorder="1" applyAlignment="1">
      <alignment vertical="center"/>
      <protection/>
    </xf>
    <xf numFmtId="0" fontId="5" fillId="35" borderId="0" xfId="60" applyFont="1" applyFill="1" applyBorder="1" applyAlignment="1">
      <alignment vertical="center"/>
      <protection/>
    </xf>
    <xf numFmtId="0" fontId="0" fillId="0" borderId="28" xfId="0" applyFont="1" applyFill="1" applyBorder="1" applyAlignment="1">
      <alignment horizontal="center" vertical="center"/>
    </xf>
    <xf numFmtId="0" fontId="4" fillId="0" borderId="28" xfId="60" applyFont="1" applyBorder="1" applyAlignment="1">
      <alignment horizontal="left" vertical="center" wrapText="1"/>
      <protection/>
    </xf>
    <xf numFmtId="4" fontId="4" fillId="0" borderId="28" xfId="60" applyNumberFormat="1" applyFont="1" applyBorder="1" applyAlignment="1">
      <alignment horizontal="right" vertical="center"/>
      <protection/>
    </xf>
    <xf numFmtId="166" fontId="4" fillId="0" borderId="28" xfId="60" applyNumberFormat="1" applyFont="1" applyBorder="1" applyAlignment="1">
      <alignment vertical="center"/>
      <protection/>
    </xf>
    <xf numFmtId="0" fontId="7" fillId="0" borderId="28" xfId="0" applyFont="1" applyBorder="1" applyAlignment="1">
      <alignment horizontal="right"/>
    </xf>
    <xf numFmtId="4" fontId="7" fillId="0" borderId="28" xfId="60" applyNumberFormat="1" applyFont="1" applyBorder="1" applyAlignment="1">
      <alignment horizontal="right" vertical="center"/>
      <protection/>
    </xf>
    <xf numFmtId="166" fontId="7" fillId="0" borderId="28" xfId="60" applyNumberFormat="1" applyFont="1" applyBorder="1" applyAlignment="1">
      <alignment vertical="center"/>
      <protection/>
    </xf>
    <xf numFmtId="0" fontId="7" fillId="0" borderId="28" xfId="60" applyFont="1" applyBorder="1" applyAlignment="1">
      <alignment horizontal="right" vertical="center"/>
      <protection/>
    </xf>
    <xf numFmtId="0" fontId="4" fillId="38" borderId="28" xfId="60" applyFont="1" applyFill="1" applyBorder="1" applyAlignment="1">
      <alignment horizontal="left" vertical="center" wrapText="1"/>
      <protection/>
    </xf>
    <xf numFmtId="0" fontId="0" fillId="36" borderId="28" xfId="0" applyFont="1" applyFill="1" applyBorder="1" applyAlignment="1">
      <alignment horizontal="center" vertical="center"/>
    </xf>
    <xf numFmtId="0" fontId="5" fillId="43" borderId="28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43" borderId="2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9" fontId="6" fillId="43" borderId="16" xfId="0" applyNumberFormat="1" applyFont="1" applyFill="1" applyBorder="1" applyAlignment="1">
      <alignment horizontal="center" vertical="center"/>
    </xf>
    <xf numFmtId="49" fontId="6" fillId="43" borderId="90" xfId="0" applyNumberFormat="1" applyFont="1" applyFill="1" applyBorder="1" applyAlignment="1">
      <alignment horizontal="center" vertical="center"/>
    </xf>
    <xf numFmtId="0" fontId="17" fillId="43" borderId="10" xfId="0" applyFont="1" applyFill="1" applyBorder="1" applyAlignment="1">
      <alignment horizontal="center" vertical="center"/>
    </xf>
    <xf numFmtId="0" fontId="6" fillId="43" borderId="10" xfId="0" applyFont="1" applyFill="1" applyBorder="1" applyAlignment="1">
      <alignment horizontal="center" vertical="center"/>
    </xf>
    <xf numFmtId="0" fontId="6" fillId="43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54" xfId="0" applyNumberFormat="1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left" vertical="center" wrapText="1"/>
    </xf>
    <xf numFmtId="4" fontId="5" fillId="0" borderId="32" xfId="0" applyNumberFormat="1" applyFont="1" applyFill="1" applyBorder="1" applyAlignment="1">
      <alignment horizontal="right" vertical="center"/>
    </xf>
    <xf numFmtId="168" fontId="5" fillId="0" borderId="32" xfId="0" applyNumberFormat="1" applyFont="1" applyFill="1" applyBorder="1" applyAlignment="1">
      <alignment vertical="center"/>
    </xf>
    <xf numFmtId="4" fontId="5" fillId="0" borderId="31" xfId="0" applyNumberFormat="1" applyFont="1" applyFill="1" applyBorder="1" applyAlignment="1">
      <alignment horizontal="right" vertical="center"/>
    </xf>
    <xf numFmtId="168" fontId="5" fillId="0" borderId="38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5" fillId="0" borderId="42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54" xfId="0" applyNumberFormat="1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 vertical="center"/>
    </xf>
    <xf numFmtId="168" fontId="4" fillId="0" borderId="32" xfId="0" applyNumberFormat="1" applyFont="1" applyFill="1" applyBorder="1" applyAlignment="1">
      <alignment vertical="center"/>
    </xf>
    <xf numFmtId="168" fontId="4" fillId="0" borderId="38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center" vertical="center"/>
    </xf>
    <xf numFmtId="49" fontId="4" fillId="0" borderId="61" xfId="0" applyNumberFormat="1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/>
    </xf>
    <xf numFmtId="168" fontId="4" fillId="0" borderId="29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vertical="center"/>
    </xf>
    <xf numFmtId="49" fontId="5" fillId="0" borderId="61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left" vertical="center" wrapText="1"/>
    </xf>
    <xf numFmtId="4" fontId="5" fillId="0" borderId="28" xfId="0" applyNumberFormat="1" applyFont="1" applyFill="1" applyBorder="1" applyAlignment="1">
      <alignment horizontal="right" vertical="center"/>
    </xf>
    <xf numFmtId="168" fontId="5" fillId="0" borderId="29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vertical="center"/>
    </xf>
    <xf numFmtId="0" fontId="15" fillId="0" borderId="28" xfId="0" applyFont="1" applyFill="1" applyBorder="1" applyAlignment="1">
      <alignment horizontal="left" vertical="center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61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vertical="center" wrapText="1"/>
    </xf>
    <xf numFmtId="168" fontId="4" fillId="0" borderId="28" xfId="0" applyNumberFormat="1" applyFont="1" applyFill="1" applyBorder="1" applyAlignment="1">
      <alignment vertical="center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vertical="top" wrapText="1"/>
    </xf>
    <xf numFmtId="168" fontId="4" fillId="0" borderId="0" xfId="0" applyNumberFormat="1" applyFont="1" applyFill="1" applyBorder="1" applyAlignment="1">
      <alignment horizontal="right" vertical="center"/>
    </xf>
    <xf numFmtId="49" fontId="4" fillId="0" borderId="54" xfId="0" applyNumberFormat="1" applyFont="1" applyFill="1" applyBorder="1" applyAlignment="1">
      <alignment horizontal="center" vertical="center" wrapText="1"/>
    </xf>
    <xf numFmtId="49" fontId="5" fillId="0" borderId="42" xfId="0" applyNumberFormat="1" applyFont="1" applyFill="1" applyBorder="1" applyAlignment="1">
      <alignment horizontal="center" vertical="center" wrapText="1"/>
    </xf>
    <xf numFmtId="49" fontId="5" fillId="0" borderId="61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15" fillId="0" borderId="28" xfId="0" applyNumberFormat="1" applyFont="1" applyFill="1" applyBorder="1" applyAlignment="1">
      <alignment vertical="center" wrapText="1"/>
    </xf>
    <xf numFmtId="49" fontId="17" fillId="0" borderId="20" xfId="0" applyNumberFormat="1" applyFont="1" applyBorder="1" applyAlignment="1">
      <alignment horizontal="left" vertical="center"/>
    </xf>
    <xf numFmtId="168" fontId="4" fillId="0" borderId="38" xfId="0" applyNumberFormat="1" applyFont="1" applyFill="1" applyBorder="1" applyAlignment="1">
      <alignment vertical="center"/>
    </xf>
    <xf numFmtId="49" fontId="15" fillId="0" borderId="28" xfId="0" applyNumberFormat="1" applyFont="1" applyFill="1" applyBorder="1" applyAlignment="1">
      <alignment horizontal="left" vertical="center"/>
    </xf>
    <xf numFmtId="49" fontId="15" fillId="0" borderId="20" xfId="0" applyNumberFormat="1" applyFont="1" applyBorder="1" applyAlignment="1">
      <alignment vertical="top" wrapText="1"/>
    </xf>
    <xf numFmtId="0" fontId="17" fillId="0" borderId="28" xfId="0" applyFont="1" applyFill="1" applyBorder="1" applyAlignment="1">
      <alignment horizontal="left" vertical="center"/>
    </xf>
    <xf numFmtId="49" fontId="15" fillId="0" borderId="20" xfId="0" applyNumberFormat="1" applyFont="1" applyFill="1" applyBorder="1" applyAlignment="1">
      <alignment vertical="center" wrapText="1"/>
    </xf>
    <xf numFmtId="0" fontId="15" fillId="0" borderId="20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4" fontId="5" fillId="45" borderId="0" xfId="0" applyNumberFormat="1" applyFont="1" applyFill="1" applyBorder="1" applyAlignment="1">
      <alignment horizontal="right" vertical="center"/>
    </xf>
    <xf numFmtId="49" fontId="15" fillId="0" borderId="20" xfId="0" applyNumberFormat="1" applyFont="1" applyFill="1" applyBorder="1" applyAlignment="1">
      <alignment horizontal="left" vertical="center" wrapText="1"/>
    </xf>
    <xf numFmtId="49" fontId="15" fillId="0" borderId="28" xfId="0" applyNumberFormat="1" applyFont="1" applyBorder="1" applyAlignment="1">
      <alignment horizontal="left" vertical="center" wrapText="1"/>
    </xf>
    <xf numFmtId="49" fontId="5" fillId="0" borderId="54" xfId="0" applyNumberFormat="1" applyFont="1" applyFill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vertical="center"/>
    </xf>
    <xf numFmtId="49" fontId="5" fillId="0" borderId="28" xfId="0" applyNumberFormat="1" applyFont="1" applyFill="1" applyBorder="1" applyAlignment="1">
      <alignment horizontal="center" vertical="center" wrapText="1"/>
    </xf>
    <xf numFmtId="168" fontId="5" fillId="0" borderId="28" xfId="0" applyNumberFormat="1" applyFont="1" applyFill="1" applyBorder="1" applyAlignment="1">
      <alignment vertical="center"/>
    </xf>
    <xf numFmtId="168" fontId="5" fillId="35" borderId="10" xfId="0" applyNumberFormat="1" applyFont="1" applyFill="1" applyBorder="1" applyAlignment="1">
      <alignment vertical="center"/>
    </xf>
    <xf numFmtId="168" fontId="5" fillId="35" borderId="17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17" fillId="0" borderId="32" xfId="0" applyNumberFormat="1" applyFont="1" applyFill="1" applyBorder="1" applyAlignment="1">
      <alignment vertical="top" wrapText="1"/>
    </xf>
    <xf numFmtId="4" fontId="4" fillId="0" borderId="28" xfId="0" applyNumberFormat="1" applyFont="1" applyFill="1" applyBorder="1" applyAlignment="1">
      <alignment horizontal="left" vertical="center"/>
    </xf>
    <xf numFmtId="49" fontId="4" fillId="0" borderId="28" xfId="0" applyNumberFormat="1" applyFont="1" applyFill="1" applyBorder="1" applyAlignment="1">
      <alignment vertical="center" wrapText="1"/>
    </xf>
    <xf numFmtId="49" fontId="15" fillId="0" borderId="28" xfId="0" applyNumberFormat="1" applyFont="1" applyBorder="1" applyAlignment="1">
      <alignment vertical="top" wrapText="1"/>
    </xf>
    <xf numFmtId="49" fontId="4" fillId="0" borderId="59" xfId="0" applyNumberFormat="1" applyFont="1" applyFill="1" applyBorder="1" applyAlignment="1">
      <alignment horizontal="center" vertical="center" wrapText="1"/>
    </xf>
    <xf numFmtId="49" fontId="4" fillId="0" borderId="60" xfId="0" applyNumberFormat="1" applyFont="1" applyFill="1" applyBorder="1" applyAlignment="1">
      <alignment horizontal="center" vertical="center" wrapText="1"/>
    </xf>
    <xf numFmtId="49" fontId="15" fillId="0" borderId="60" xfId="0" applyNumberFormat="1" applyFont="1" applyBorder="1" applyAlignment="1">
      <alignment vertical="center" wrapText="1"/>
    </xf>
    <xf numFmtId="4" fontId="4" fillId="0" borderId="60" xfId="0" applyNumberFormat="1" applyFont="1" applyFill="1" applyBorder="1" applyAlignment="1">
      <alignment horizontal="right" vertical="center"/>
    </xf>
    <xf numFmtId="168" fontId="4" fillId="0" borderId="60" xfId="0" applyNumberFormat="1" applyFont="1" applyFill="1" applyBorder="1" applyAlignment="1">
      <alignment vertical="center"/>
    </xf>
    <xf numFmtId="168" fontId="4" fillId="0" borderId="65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170" fontId="4" fillId="0" borderId="0" xfId="0" applyNumberFormat="1" applyFont="1" applyFill="1" applyBorder="1" applyAlignment="1">
      <alignment vertical="center"/>
    </xf>
    <xf numFmtId="170" fontId="4" fillId="0" borderId="0" xfId="0" applyNumberFormat="1" applyFont="1" applyFill="1" applyAlignment="1">
      <alignment vertical="center"/>
    </xf>
    <xf numFmtId="170" fontId="4" fillId="0" borderId="0" xfId="0" applyNumberFormat="1" applyFont="1" applyFill="1" applyAlignment="1">
      <alignment horizontal="right" vertical="center"/>
    </xf>
    <xf numFmtId="0" fontId="15" fillId="0" borderId="46" xfId="0" applyFont="1" applyFill="1" applyBorder="1" applyAlignment="1">
      <alignment vertical="center"/>
    </xf>
    <xf numFmtId="170" fontId="4" fillId="0" borderId="46" xfId="0" applyNumberFormat="1" applyFont="1" applyFill="1" applyBorder="1" applyAlignment="1">
      <alignment vertical="center"/>
    </xf>
    <xf numFmtId="0" fontId="76" fillId="34" borderId="0" xfId="59" applyFont="1" applyFill="1" applyAlignment="1">
      <alignment vertical="center"/>
      <protection/>
    </xf>
    <xf numFmtId="4" fontId="80" fillId="34" borderId="22" xfId="0" applyNumberFormat="1" applyFont="1" applyFill="1" applyBorder="1" applyAlignment="1">
      <alignment horizontal="right" vertical="center"/>
    </xf>
    <xf numFmtId="4" fontId="4" fillId="34" borderId="24" xfId="0" applyNumberFormat="1" applyFont="1" applyFill="1" applyBorder="1" applyAlignment="1">
      <alignment horizontal="right" vertical="center"/>
    </xf>
    <xf numFmtId="49" fontId="81" fillId="0" borderId="20" xfId="0" applyNumberFormat="1" applyFont="1" applyBorder="1" applyAlignment="1">
      <alignment vertical="center" wrapText="1"/>
    </xf>
    <xf numFmtId="4" fontId="81" fillId="0" borderId="20" xfId="0" applyNumberFormat="1" applyFont="1" applyBorder="1" applyAlignment="1">
      <alignment vertical="center"/>
    </xf>
    <xf numFmtId="167" fontId="81" fillId="0" borderId="22" xfId="0" applyNumberFormat="1" applyFont="1" applyBorder="1" applyAlignment="1">
      <alignment horizontal="right" vertical="center"/>
    </xf>
    <xf numFmtId="169" fontId="81" fillId="0" borderId="23" xfId="0" applyNumberFormat="1" applyFont="1" applyBorder="1" applyAlignment="1">
      <alignment vertical="center"/>
    </xf>
    <xf numFmtId="4" fontId="80" fillId="34" borderId="28" xfId="59" applyNumberFormat="1" applyFont="1" applyFill="1" applyBorder="1" applyAlignment="1">
      <alignment vertical="center"/>
      <protection/>
    </xf>
    <xf numFmtId="49" fontId="5" fillId="40" borderId="30" xfId="0" applyNumberFormat="1" applyFont="1" applyFill="1" applyBorder="1" applyAlignment="1">
      <alignment horizontal="center" vertical="center"/>
    </xf>
    <xf numFmtId="49" fontId="5" fillId="40" borderId="46" xfId="0" applyNumberFormat="1" applyFont="1" applyFill="1" applyBorder="1" applyAlignment="1">
      <alignment horizontal="center" vertical="center"/>
    </xf>
    <xf numFmtId="0" fontId="5" fillId="42" borderId="0" xfId="0" applyFont="1" applyFill="1" applyAlignment="1">
      <alignment horizontal="center" vertical="center"/>
    </xf>
    <xf numFmtId="0" fontId="4" fillId="34" borderId="28" xfId="60" applyFont="1" applyFill="1" applyBorder="1" applyAlignment="1">
      <alignment horizontal="left" vertical="center" wrapText="1"/>
      <protection/>
    </xf>
    <xf numFmtId="0" fontId="4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left" vertical="center"/>
      <protection/>
    </xf>
    <xf numFmtId="166" fontId="4" fillId="0" borderId="0" xfId="60" applyNumberFormat="1" applyFont="1" applyAlignment="1">
      <alignment vertical="center"/>
      <protection/>
    </xf>
    <xf numFmtId="4" fontId="4" fillId="0" borderId="0" xfId="60" applyNumberFormat="1" applyFont="1" applyBorder="1" applyAlignment="1">
      <alignment vertical="center"/>
      <protection/>
    </xf>
    <xf numFmtId="4" fontId="4" fillId="0" borderId="0" xfId="60" applyNumberFormat="1" applyFont="1" applyAlignment="1">
      <alignment vertical="center"/>
      <protection/>
    </xf>
    <xf numFmtId="0" fontId="4" fillId="0" borderId="0" xfId="60" applyFont="1" applyAlignment="1">
      <alignment horizontal="right" vertical="center"/>
      <protection/>
    </xf>
    <xf numFmtId="166" fontId="4" fillId="0" borderId="0" xfId="0" applyNumberFormat="1" applyFont="1" applyFill="1" applyBorder="1" applyAlignment="1">
      <alignment horizontal="right" vertical="top"/>
    </xf>
    <xf numFmtId="166" fontId="7" fillId="0" borderId="0" xfId="0" applyNumberFormat="1" applyFont="1" applyFill="1" applyBorder="1" applyAlignment="1">
      <alignment horizontal="right" vertical="top"/>
    </xf>
    <xf numFmtId="0" fontId="8" fillId="0" borderId="0" xfId="0" applyFont="1" applyAlignment="1">
      <alignment horizontal="center" vertical="center"/>
    </xf>
    <xf numFmtId="49" fontId="7" fillId="0" borderId="19" xfId="0" applyNumberFormat="1" applyFont="1" applyFill="1" applyBorder="1" applyAlignment="1">
      <alignment vertical="top"/>
    </xf>
    <xf numFmtId="4" fontId="7" fillId="0" borderId="20" xfId="0" applyNumberFormat="1" applyFont="1" applyFill="1" applyBorder="1" applyAlignment="1">
      <alignment horizontal="center" vertical="top"/>
    </xf>
    <xf numFmtId="49" fontId="7" fillId="0" borderId="30" xfId="0" applyNumberFormat="1" applyFont="1" applyBorder="1" applyAlignment="1">
      <alignment horizontal="center" vertical="top"/>
    </xf>
    <xf numFmtId="49" fontId="7" fillId="0" borderId="32" xfId="0" applyNumberFormat="1" applyFont="1" applyBorder="1" applyAlignment="1">
      <alignment horizontal="center" vertical="top" wrapText="1"/>
    </xf>
    <xf numFmtId="49" fontId="7" fillId="0" borderId="32" xfId="0" applyNumberFormat="1" applyFont="1" applyFill="1" applyBorder="1" applyAlignment="1">
      <alignment vertical="top" wrapText="1"/>
    </xf>
    <xf numFmtId="49" fontId="4" fillId="0" borderId="19" xfId="0" applyNumberFormat="1" applyFont="1" applyFill="1" applyBorder="1" applyAlignment="1">
      <alignment horizontal="left" vertical="top" wrapText="1"/>
    </xf>
    <xf numFmtId="49" fontId="7" fillId="0" borderId="19" xfId="0" applyNumberFormat="1" applyFont="1" applyFill="1" applyBorder="1" applyAlignment="1">
      <alignment horizontal="center" vertical="top" wrapText="1"/>
    </xf>
    <xf numFmtId="0" fontId="4" fillId="46" borderId="0" xfId="0" applyFont="1" applyFill="1" applyAlignment="1">
      <alignment vertical="top"/>
    </xf>
    <xf numFmtId="0" fontId="5" fillId="36" borderId="30" xfId="0" applyFont="1" applyFill="1" applyBorder="1" applyAlignment="1">
      <alignment horizontal="center" vertical="center"/>
    </xf>
    <xf numFmtId="0" fontId="5" fillId="36" borderId="58" xfId="0" applyFont="1" applyFill="1" applyBorder="1" applyAlignment="1">
      <alignment horizontal="center" vertical="center"/>
    </xf>
    <xf numFmtId="0" fontId="5" fillId="36" borderId="42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 wrapText="1"/>
    </xf>
    <xf numFmtId="0" fontId="5" fillId="43" borderId="14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left" vertical="center" wrapText="1"/>
    </xf>
    <xf numFmtId="166" fontId="7" fillId="0" borderId="21" xfId="0" applyNumberFormat="1" applyFont="1" applyBorder="1" applyAlignment="1">
      <alignment horizontal="right" vertical="center"/>
    </xf>
    <xf numFmtId="49" fontId="5" fillId="0" borderId="20" xfId="0" applyNumberFormat="1" applyFont="1" applyBorder="1" applyAlignment="1">
      <alignment horizontal="left" vertical="center" wrapText="1"/>
    </xf>
    <xf numFmtId="4" fontId="7" fillId="0" borderId="23" xfId="0" applyNumberFormat="1" applyFont="1" applyFill="1" applyBorder="1" applyAlignment="1">
      <alignment vertical="center"/>
    </xf>
    <xf numFmtId="4" fontId="12" fillId="0" borderId="20" xfId="0" applyNumberFormat="1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vertical="center"/>
    </xf>
    <xf numFmtId="49" fontId="15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4" fontId="10" fillId="35" borderId="32" xfId="0" applyNumberFormat="1" applyFont="1" applyFill="1" applyBorder="1" applyAlignment="1">
      <alignment vertical="center"/>
    </xf>
    <xf numFmtId="4" fontId="10" fillId="35" borderId="60" xfId="0" applyNumberFormat="1" applyFont="1" applyFill="1" applyBorder="1" applyAlignment="1">
      <alignment vertical="center"/>
    </xf>
    <xf numFmtId="4" fontId="11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35" borderId="62" xfId="64" applyFont="1" applyFill="1" applyBorder="1" applyAlignment="1">
      <alignment horizontal="center" vertical="center"/>
      <protection/>
    </xf>
    <xf numFmtId="0" fontId="5" fillId="35" borderId="90" xfId="64" applyFont="1" applyFill="1" applyBorder="1" applyAlignment="1">
      <alignment horizontal="center" vertical="center"/>
      <protection/>
    </xf>
    <xf numFmtId="4" fontId="4" fillId="0" borderId="0" xfId="64" applyNumberFormat="1" applyFont="1" applyAlignment="1">
      <alignment horizontal="center" vertical="center"/>
      <protection/>
    </xf>
    <xf numFmtId="4" fontId="5" fillId="0" borderId="0" xfId="64" applyNumberFormat="1" applyFont="1" applyAlignment="1">
      <alignment horizontal="center" vertical="center"/>
      <protection/>
    </xf>
    <xf numFmtId="0" fontId="5" fillId="0" borderId="0" xfId="64" applyFont="1" applyAlignment="1">
      <alignment horizontal="center" vertical="center"/>
      <protection/>
    </xf>
    <xf numFmtId="4" fontId="5" fillId="35" borderId="11" xfId="64" applyNumberFormat="1" applyFont="1" applyFill="1" applyBorder="1" applyAlignment="1">
      <alignment horizontal="center" vertical="center"/>
      <protection/>
    </xf>
    <xf numFmtId="4" fontId="5" fillId="35" borderId="91" xfId="64" applyNumberFormat="1" applyFont="1" applyFill="1" applyBorder="1" applyAlignment="1">
      <alignment horizontal="center" vertical="center"/>
      <protection/>
    </xf>
    <xf numFmtId="0" fontId="5" fillId="0" borderId="0" xfId="64" applyFont="1" applyAlignment="1">
      <alignment horizontal="center" vertical="center" wrapText="1"/>
      <protection/>
    </xf>
    <xf numFmtId="0" fontId="5" fillId="44" borderId="14" xfId="64" applyFont="1" applyFill="1" applyBorder="1" applyAlignment="1">
      <alignment horizontal="center" vertical="center" wrapText="1"/>
      <protection/>
    </xf>
    <xf numFmtId="0" fontId="5" fillId="44" borderId="92" xfId="64" applyFont="1" applyFill="1" applyBorder="1" applyAlignment="1">
      <alignment horizontal="center" vertical="center" wrapText="1"/>
      <protection/>
    </xf>
    <xf numFmtId="4" fontId="5" fillId="37" borderId="43" xfId="64" applyNumberFormat="1" applyFont="1" applyFill="1" applyBorder="1" applyAlignment="1">
      <alignment horizontal="center" vertical="center"/>
      <protection/>
    </xf>
    <xf numFmtId="4" fontId="5" fillId="37" borderId="93" xfId="64" applyNumberFormat="1" applyFont="1" applyFill="1" applyBorder="1" applyAlignment="1">
      <alignment horizontal="center" vertical="center"/>
      <protection/>
    </xf>
    <xf numFmtId="4" fontId="5" fillId="37" borderId="61" xfId="64" applyNumberFormat="1" applyFont="1" applyFill="1" applyBorder="1" applyAlignment="1">
      <alignment horizontal="center" vertical="center"/>
      <protection/>
    </xf>
    <xf numFmtId="4" fontId="5" fillId="35" borderId="90" xfId="64" applyNumberFormat="1" applyFont="1" applyFill="1" applyBorder="1" applyAlignment="1">
      <alignment horizontal="center" vertical="center"/>
      <protection/>
    </xf>
    <xf numFmtId="0" fontId="5" fillId="37" borderId="58" xfId="64" applyFont="1" applyFill="1" applyBorder="1" applyAlignment="1">
      <alignment horizontal="center" vertical="center"/>
      <protection/>
    </xf>
    <xf numFmtId="0" fontId="5" fillId="37" borderId="61" xfId="64" applyFont="1" applyFill="1" applyBorder="1" applyAlignment="1">
      <alignment horizontal="center" vertical="center"/>
      <protection/>
    </xf>
    <xf numFmtId="0" fontId="5" fillId="44" borderId="51" xfId="64" applyFont="1" applyFill="1" applyBorder="1" applyAlignment="1">
      <alignment horizontal="center" vertical="center" wrapText="1"/>
      <protection/>
    </xf>
    <xf numFmtId="0" fontId="5" fillId="44" borderId="27" xfId="64" applyFont="1" applyFill="1" applyBorder="1" applyAlignment="1">
      <alignment horizontal="center" vertical="center" wrapText="1"/>
      <protection/>
    </xf>
    <xf numFmtId="0" fontId="5" fillId="44" borderId="52" xfId="64" applyFont="1" applyFill="1" applyBorder="1" applyAlignment="1">
      <alignment horizontal="center" vertical="center" wrapText="1"/>
      <protection/>
    </xf>
    <xf numFmtId="0" fontId="5" fillId="44" borderId="32" xfId="64" applyFont="1" applyFill="1" applyBorder="1" applyAlignment="1">
      <alignment horizontal="center" vertical="center" wrapText="1"/>
      <protection/>
    </xf>
    <xf numFmtId="0" fontId="5" fillId="44" borderId="94" xfId="64" applyFont="1" applyFill="1" applyBorder="1" applyAlignment="1">
      <alignment horizontal="center" vertical="center" wrapText="1"/>
      <protection/>
    </xf>
    <xf numFmtId="0" fontId="5" fillId="37" borderId="42" xfId="64" applyFont="1" applyFill="1" applyBorder="1" applyAlignment="1">
      <alignment horizontal="center" vertical="center"/>
      <protection/>
    </xf>
    <xf numFmtId="0" fontId="5" fillId="37" borderId="28" xfId="64" applyFont="1" applyFill="1" applyBorder="1" applyAlignment="1">
      <alignment horizontal="center" vertical="center"/>
      <protection/>
    </xf>
    <xf numFmtId="0" fontId="5" fillId="35" borderId="42" xfId="64" applyFont="1" applyFill="1" applyBorder="1" applyAlignment="1">
      <alignment horizontal="center" vertical="center"/>
      <protection/>
    </xf>
    <xf numFmtId="0" fontId="5" fillId="35" borderId="28" xfId="64" applyFont="1" applyFill="1" applyBorder="1" applyAlignment="1">
      <alignment horizontal="center" vertical="center"/>
      <protection/>
    </xf>
    <xf numFmtId="0" fontId="5" fillId="33" borderId="14" xfId="64" applyFont="1" applyFill="1" applyBorder="1" applyAlignment="1">
      <alignment horizontal="center" vertical="center" wrapText="1"/>
      <protection/>
    </xf>
    <xf numFmtId="0" fontId="5" fillId="33" borderId="92" xfId="64" applyFont="1" applyFill="1" applyBorder="1" applyAlignment="1">
      <alignment horizontal="center" vertical="center" wrapText="1"/>
      <protection/>
    </xf>
    <xf numFmtId="0" fontId="5" fillId="33" borderId="51" xfId="64" applyFont="1" applyFill="1" applyBorder="1" applyAlignment="1">
      <alignment horizontal="center" vertical="center" wrapText="1"/>
      <protection/>
    </xf>
    <xf numFmtId="0" fontId="5" fillId="33" borderId="27" xfId="64" applyFont="1" applyFill="1" applyBorder="1" applyAlignment="1">
      <alignment horizontal="center" vertical="center" wrapText="1"/>
      <protection/>
    </xf>
    <xf numFmtId="0" fontId="5" fillId="35" borderId="16" xfId="64" applyFont="1" applyFill="1" applyBorder="1" applyAlignment="1">
      <alignment horizontal="center" vertical="center"/>
      <protection/>
    </xf>
    <xf numFmtId="0" fontId="5" fillId="35" borderId="10" xfId="64" applyFont="1" applyFill="1" applyBorder="1" applyAlignment="1">
      <alignment horizontal="center" vertical="center"/>
      <protection/>
    </xf>
    <xf numFmtId="0" fontId="5" fillId="33" borderId="52" xfId="64" applyFont="1" applyFill="1" applyBorder="1" applyAlignment="1">
      <alignment horizontal="center" vertical="center" wrapText="1"/>
      <protection/>
    </xf>
    <xf numFmtId="0" fontId="5" fillId="33" borderId="32" xfId="64" applyFont="1" applyFill="1" applyBorder="1" applyAlignment="1">
      <alignment horizontal="center" vertical="center" wrapText="1"/>
      <protection/>
    </xf>
    <xf numFmtId="4" fontId="5" fillId="35" borderId="43" xfId="64" applyNumberFormat="1" applyFont="1" applyFill="1" applyBorder="1" applyAlignment="1">
      <alignment horizontal="center" vertical="center"/>
      <protection/>
    </xf>
    <xf numFmtId="4" fontId="5" fillId="35" borderId="93" xfId="64" applyNumberFormat="1" applyFont="1" applyFill="1" applyBorder="1" applyAlignment="1">
      <alignment horizontal="center" vertical="center"/>
      <protection/>
    </xf>
    <xf numFmtId="0" fontId="5" fillId="33" borderId="94" xfId="64" applyFont="1" applyFill="1" applyBorder="1" applyAlignment="1">
      <alignment horizontal="center" vertical="center" wrapText="1"/>
      <protection/>
    </xf>
    <xf numFmtId="4" fontId="5" fillId="35" borderId="61" xfId="64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5" fillId="33" borderId="94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6" borderId="27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 wrapText="1"/>
    </xf>
    <xf numFmtId="0" fontId="5" fillId="36" borderId="32" xfId="0" applyFont="1" applyFill="1" applyBorder="1" applyAlignment="1">
      <alignment horizontal="center" vertical="center" wrapText="1"/>
    </xf>
    <xf numFmtId="0" fontId="5" fillId="33" borderId="66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7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/>
    </xf>
    <xf numFmtId="49" fontId="5" fillId="33" borderId="95" xfId="0" applyNumberFormat="1" applyFont="1" applyFill="1" applyBorder="1" applyAlignment="1">
      <alignment horizontal="center" vertical="center"/>
    </xf>
    <xf numFmtId="49" fontId="5" fillId="33" borderId="30" xfId="0" applyNumberFormat="1" applyFont="1" applyFill="1" applyBorder="1" applyAlignment="1">
      <alignment horizontal="center" vertical="center"/>
    </xf>
    <xf numFmtId="0" fontId="5" fillId="33" borderId="96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9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40" borderId="14" xfId="0" applyFont="1" applyFill="1" applyBorder="1" applyAlignment="1">
      <alignment horizontal="center" vertical="center"/>
    </xf>
    <xf numFmtId="0" fontId="5" fillId="40" borderId="94" xfId="0" applyFont="1" applyFill="1" applyBorder="1" applyAlignment="1">
      <alignment horizontal="center" vertical="center"/>
    </xf>
    <xf numFmtId="0" fontId="5" fillId="38" borderId="0" xfId="0" applyFont="1" applyFill="1" applyAlignment="1">
      <alignment horizontal="right"/>
    </xf>
    <xf numFmtId="49" fontId="5" fillId="40" borderId="39" xfId="0" applyNumberFormat="1" applyFont="1" applyFill="1" applyBorder="1" applyAlignment="1">
      <alignment horizontal="center" vertical="center"/>
    </xf>
    <xf numFmtId="49" fontId="5" fillId="40" borderId="45" xfId="0" applyNumberFormat="1" applyFont="1" applyFill="1" applyBorder="1" applyAlignment="1">
      <alignment horizontal="center" vertical="center"/>
    </xf>
    <xf numFmtId="49" fontId="5" fillId="40" borderId="94" xfId="0" applyNumberFormat="1" applyFont="1" applyFill="1" applyBorder="1" applyAlignment="1">
      <alignment horizontal="center" vertical="center"/>
    </xf>
    <xf numFmtId="49" fontId="5" fillId="35" borderId="68" xfId="0" applyNumberFormat="1" applyFont="1" applyFill="1" applyBorder="1" applyAlignment="1">
      <alignment horizontal="center" vertical="center"/>
    </xf>
    <xf numFmtId="49" fontId="5" fillId="35" borderId="97" xfId="0" applyNumberFormat="1" applyFont="1" applyFill="1" applyBorder="1" applyAlignment="1">
      <alignment horizontal="center" vertical="center"/>
    </xf>
    <xf numFmtId="49" fontId="5" fillId="35" borderId="98" xfId="0" applyNumberFormat="1" applyFont="1" applyFill="1" applyBorder="1" applyAlignment="1">
      <alignment horizontal="center" vertical="center"/>
    </xf>
    <xf numFmtId="49" fontId="5" fillId="40" borderId="30" xfId="0" applyNumberFormat="1" applyFont="1" applyFill="1" applyBorder="1" applyAlignment="1">
      <alignment horizontal="center" vertical="center"/>
    </xf>
    <xf numFmtId="49" fontId="5" fillId="40" borderId="46" xfId="0" applyNumberFormat="1" applyFont="1" applyFill="1" applyBorder="1" applyAlignment="1">
      <alignment horizontal="center" vertical="center"/>
    </xf>
    <xf numFmtId="49" fontId="5" fillId="40" borderId="54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horizontal="center" vertical="center" wrapText="1"/>
    </xf>
    <xf numFmtId="49" fontId="5" fillId="40" borderId="58" xfId="0" applyNumberFormat="1" applyFont="1" applyFill="1" applyBorder="1" applyAlignment="1">
      <alignment horizontal="center" vertical="center"/>
    </xf>
    <xf numFmtId="49" fontId="5" fillId="40" borderId="69" xfId="0" applyNumberFormat="1" applyFont="1" applyFill="1" applyBorder="1" applyAlignment="1">
      <alignment horizontal="center" vertical="center"/>
    </xf>
    <xf numFmtId="49" fontId="5" fillId="40" borderId="6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38" borderId="0" xfId="0" applyFont="1" applyFill="1" applyAlignment="1">
      <alignment horizontal="right" vertical="center"/>
    </xf>
    <xf numFmtId="49" fontId="5" fillId="41" borderId="27" xfId="0" applyNumberFormat="1" applyFont="1" applyFill="1" applyBorder="1" applyAlignment="1">
      <alignment horizontal="center" vertical="center"/>
    </xf>
    <xf numFmtId="49" fontId="5" fillId="41" borderId="3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37" borderId="35" xfId="0" applyFont="1" applyFill="1" applyBorder="1" applyAlignment="1">
      <alignment horizontal="center" vertical="center"/>
    </xf>
    <xf numFmtId="0" fontId="5" fillId="37" borderId="44" xfId="0" applyFont="1" applyFill="1" applyBorder="1" applyAlignment="1">
      <alignment horizontal="center" vertical="center"/>
    </xf>
    <xf numFmtId="0" fontId="5" fillId="37" borderId="57" xfId="0" applyFont="1" applyFill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4" xfId="0" applyFont="1" applyBorder="1" applyAlignment="1">
      <alignment horizontal="left" wrapText="1"/>
    </xf>
    <xf numFmtId="0" fontId="5" fillId="0" borderId="44" xfId="0" applyFont="1" applyBorder="1" applyAlignment="1">
      <alignment horizontal="left"/>
    </xf>
    <xf numFmtId="0" fontId="5" fillId="0" borderId="44" xfId="0" applyFont="1" applyBorder="1" applyAlignment="1">
      <alignment horizontal="left" vertical="center" wrapText="1"/>
    </xf>
    <xf numFmtId="0" fontId="4" fillId="0" borderId="99" xfId="0" applyFont="1" applyFill="1" applyBorder="1" applyAlignment="1">
      <alignment horizontal="left" vertical="center" wrapText="1"/>
    </xf>
    <xf numFmtId="0" fontId="10" fillId="35" borderId="63" xfId="0" applyFont="1" applyFill="1" applyBorder="1" applyAlignment="1">
      <alignment horizontal="left" vertical="center"/>
    </xf>
    <xf numFmtId="0" fontId="10" fillId="35" borderId="47" xfId="0" applyFont="1" applyFill="1" applyBorder="1" applyAlignment="1">
      <alignment horizontal="left" vertical="center"/>
    </xf>
    <xf numFmtId="0" fontId="10" fillId="35" borderId="100" xfId="0" applyFont="1" applyFill="1" applyBorder="1" applyAlignment="1">
      <alignment horizontal="left" vertical="center"/>
    </xf>
    <xf numFmtId="0" fontId="5" fillId="35" borderId="35" xfId="0" applyFont="1" applyFill="1" applyBorder="1" applyAlignment="1">
      <alignment horizontal="left" vertical="center"/>
    </xf>
    <xf numFmtId="0" fontId="5" fillId="35" borderId="44" xfId="0" applyFont="1" applyFill="1" applyBorder="1" applyAlignment="1">
      <alignment horizontal="left" vertical="center"/>
    </xf>
    <xf numFmtId="0" fontId="5" fillId="35" borderId="57" xfId="0" applyFont="1" applyFill="1" applyBorder="1" applyAlignment="1">
      <alignment horizontal="left" vertical="center"/>
    </xf>
    <xf numFmtId="0" fontId="10" fillId="35" borderId="30" xfId="0" applyFont="1" applyFill="1" applyBorder="1" applyAlignment="1">
      <alignment horizontal="left" vertical="center"/>
    </xf>
    <xf numFmtId="0" fontId="10" fillId="35" borderId="46" xfId="0" applyFont="1" applyFill="1" applyBorder="1" applyAlignment="1">
      <alignment horizontal="left" vertical="center"/>
    </xf>
    <xf numFmtId="0" fontId="10" fillId="35" borderId="5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94" xfId="0" applyFont="1" applyFill="1" applyBorder="1" applyAlignment="1">
      <alignment horizontal="center" vertical="center"/>
    </xf>
    <xf numFmtId="0" fontId="17" fillId="43" borderId="12" xfId="0" applyFont="1" applyFill="1" applyBorder="1" applyAlignment="1">
      <alignment horizontal="center" vertical="center"/>
    </xf>
    <xf numFmtId="0" fontId="17" fillId="43" borderId="28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4" fillId="0" borderId="99" xfId="0" applyNumberFormat="1" applyFont="1" applyFill="1" applyBorder="1" applyAlignment="1">
      <alignment horizontal="left" vertical="center" wrapText="1"/>
    </xf>
    <xf numFmtId="49" fontId="5" fillId="35" borderId="25" xfId="0" applyNumberFormat="1" applyFont="1" applyFill="1" applyBorder="1" applyAlignment="1">
      <alignment horizontal="center" vertical="center"/>
    </xf>
    <xf numFmtId="49" fontId="5" fillId="35" borderId="3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5" fillId="43" borderId="12" xfId="0" applyFont="1" applyFill="1" applyBorder="1" applyAlignment="1">
      <alignment horizontal="center" vertical="center" wrapText="1"/>
    </xf>
    <xf numFmtId="0" fontId="5" fillId="43" borderId="12" xfId="0" applyFont="1" applyFill="1" applyBorder="1" applyAlignment="1">
      <alignment horizontal="center" vertical="center"/>
    </xf>
    <xf numFmtId="0" fontId="5" fillId="43" borderId="15" xfId="0" applyFont="1" applyFill="1" applyBorder="1" applyAlignment="1">
      <alignment horizontal="center" vertical="center"/>
    </xf>
    <xf numFmtId="49" fontId="5" fillId="43" borderId="13" xfId="0" applyNumberFormat="1" applyFont="1" applyFill="1" applyBorder="1" applyAlignment="1">
      <alignment horizontal="center" vertical="center"/>
    </xf>
    <xf numFmtId="49" fontId="5" fillId="43" borderId="42" xfId="0" applyNumberFormat="1" applyFont="1" applyFill="1" applyBorder="1" applyAlignment="1">
      <alignment horizontal="center" vertical="center"/>
    </xf>
    <xf numFmtId="49" fontId="17" fillId="43" borderId="94" xfId="0" applyNumberFormat="1" applyFont="1" applyFill="1" applyBorder="1" applyAlignment="1">
      <alignment horizontal="center" vertical="center"/>
    </xf>
    <xf numFmtId="49" fontId="17" fillId="43" borderId="6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6" borderId="39" xfId="0" applyFont="1" applyFill="1" applyBorder="1" applyAlignment="1">
      <alignment horizontal="center" vertical="center"/>
    </xf>
    <xf numFmtId="0" fontId="5" fillId="36" borderId="30" xfId="0" applyFont="1" applyFill="1" applyBorder="1" applyAlignment="1">
      <alignment horizontal="center" vertical="center"/>
    </xf>
    <xf numFmtId="0" fontId="5" fillId="36" borderId="58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/>
    </xf>
    <xf numFmtId="0" fontId="5" fillId="36" borderId="28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/>
    </xf>
    <xf numFmtId="0" fontId="5" fillId="36" borderId="42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84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5" fillId="36" borderId="43" xfId="0" applyFont="1" applyFill="1" applyBorder="1" applyAlignment="1">
      <alignment horizontal="center" vertical="center" wrapText="1"/>
    </xf>
    <xf numFmtId="0" fontId="5" fillId="36" borderId="69" xfId="0" applyFont="1" applyFill="1" applyBorder="1" applyAlignment="1">
      <alignment horizontal="center" vertical="center" wrapText="1"/>
    </xf>
    <xf numFmtId="0" fontId="5" fillId="36" borderId="61" xfId="0" applyFont="1" applyFill="1" applyBorder="1" applyAlignment="1">
      <alignment horizontal="center" vertical="center" wrapText="1"/>
    </xf>
    <xf numFmtId="0" fontId="5" fillId="36" borderId="41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38" xfId="0" applyFont="1" applyFill="1" applyBorder="1" applyAlignment="1">
      <alignment horizontal="center" vertical="center" wrapText="1"/>
    </xf>
    <xf numFmtId="0" fontId="5" fillId="36" borderId="101" xfId="0" applyFont="1" applyFill="1" applyBorder="1" applyAlignment="1">
      <alignment horizontal="center" vertical="center" wrapText="1"/>
    </xf>
    <xf numFmtId="0" fontId="5" fillId="36" borderId="54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/>
    </xf>
    <xf numFmtId="0" fontId="5" fillId="36" borderId="32" xfId="0" applyFont="1" applyFill="1" applyBorder="1" applyAlignment="1">
      <alignment horizontal="center" vertical="center"/>
    </xf>
    <xf numFmtId="0" fontId="5" fillId="42" borderId="0" xfId="0" applyFont="1" applyFill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4" fillId="38" borderId="28" xfId="60" applyFont="1" applyFill="1" applyBorder="1" applyAlignment="1">
      <alignment horizontal="center" vertical="center"/>
      <protection/>
    </xf>
    <xf numFmtId="0" fontId="4" fillId="34" borderId="28" xfId="60" applyFont="1" applyFill="1" applyBorder="1" applyAlignment="1">
      <alignment horizontal="center" vertical="center" wrapText="1"/>
      <protection/>
    </xf>
    <xf numFmtId="0" fontId="4" fillId="0" borderId="28" xfId="60" applyFont="1" applyBorder="1" applyAlignment="1">
      <alignment horizontal="center" vertical="center"/>
      <protection/>
    </xf>
    <xf numFmtId="0" fontId="5" fillId="36" borderId="28" xfId="60" applyFont="1" applyFill="1" applyBorder="1" applyAlignment="1">
      <alignment horizontal="center" vertical="center"/>
      <protection/>
    </xf>
    <xf numFmtId="0" fontId="5" fillId="0" borderId="28" xfId="60" applyFont="1" applyFill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166" fontId="5" fillId="0" borderId="0" xfId="0" applyNumberFormat="1" applyFont="1" applyFill="1" applyAlignment="1">
      <alignment horizontal="right" vertical="center"/>
    </xf>
    <xf numFmtId="0" fontId="5" fillId="0" borderId="0" xfId="60" applyFont="1" applyAlignment="1">
      <alignment horizontal="center" vertical="center" wrapText="1"/>
      <protection/>
    </xf>
    <xf numFmtId="0" fontId="5" fillId="0" borderId="28" xfId="60" applyFont="1" applyBorder="1" applyAlignment="1">
      <alignment horizontal="center" vertical="center"/>
      <protection/>
    </xf>
    <xf numFmtId="0" fontId="0" fillId="0" borderId="28" xfId="0" applyFont="1" applyBorder="1" applyAlignment="1">
      <alignment/>
    </xf>
    <xf numFmtId="166" fontId="5" fillId="0" borderId="28" xfId="60" applyNumberFormat="1" applyFont="1" applyBorder="1" applyAlignment="1">
      <alignment horizontal="center" vertical="center"/>
      <protection/>
    </xf>
    <xf numFmtId="0" fontId="17" fillId="0" borderId="28" xfId="60" applyFont="1" applyBorder="1" applyAlignment="1">
      <alignment horizontal="center" vertical="center" wrapText="1"/>
      <protection/>
    </xf>
    <xf numFmtId="0" fontId="17" fillId="38" borderId="28" xfId="60" applyFont="1" applyFill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center" vertical="center"/>
      <protection/>
    </xf>
    <xf numFmtId="0" fontId="4" fillId="38" borderId="0" xfId="60" applyFont="1" applyFill="1" applyBorder="1" applyAlignment="1">
      <alignment horizontal="center" vertical="center"/>
      <protection/>
    </xf>
    <xf numFmtId="0" fontId="4" fillId="34" borderId="0" xfId="60" applyFont="1" applyFill="1" applyBorder="1" applyAlignment="1">
      <alignment horizontal="center" vertical="center" wrapText="1"/>
      <protection/>
    </xf>
    <xf numFmtId="0" fontId="4" fillId="34" borderId="61" xfId="60" applyFont="1" applyFill="1" applyBorder="1" applyAlignment="1">
      <alignment horizontal="center" vertical="center" wrapText="1"/>
      <protection/>
    </xf>
    <xf numFmtId="0" fontId="4" fillId="0" borderId="84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32" xfId="60" applyFont="1" applyBorder="1" applyAlignment="1">
      <alignment horizontal="center" vertical="center"/>
      <protection/>
    </xf>
    <xf numFmtId="0" fontId="4" fillId="38" borderId="84" xfId="60" applyFont="1" applyFill="1" applyBorder="1" applyAlignment="1">
      <alignment horizontal="center" vertical="center"/>
      <protection/>
    </xf>
    <xf numFmtId="0" fontId="4" fillId="38" borderId="20" xfId="60" applyFont="1" applyFill="1" applyBorder="1" applyAlignment="1">
      <alignment horizontal="center" vertical="center"/>
      <protection/>
    </xf>
    <xf numFmtId="0" fontId="4" fillId="38" borderId="32" xfId="60" applyFont="1" applyFill="1" applyBorder="1" applyAlignment="1">
      <alignment horizontal="center" vertical="center"/>
      <protection/>
    </xf>
    <xf numFmtId="0" fontId="4" fillId="34" borderId="84" xfId="60" applyFont="1" applyFill="1" applyBorder="1" applyAlignment="1">
      <alignment horizontal="center" vertical="center" wrapText="1"/>
      <protection/>
    </xf>
    <xf numFmtId="0" fontId="4" fillId="34" borderId="20" xfId="60" applyFont="1" applyFill="1" applyBorder="1" applyAlignment="1">
      <alignment horizontal="center" vertical="center" wrapText="1"/>
      <protection/>
    </xf>
    <xf numFmtId="0" fontId="4" fillId="34" borderId="32" xfId="60" applyFont="1" applyFill="1" applyBorder="1" applyAlignment="1">
      <alignment horizontal="center" vertical="center" wrapText="1"/>
      <protection/>
    </xf>
    <xf numFmtId="0" fontId="5" fillId="43" borderId="62" xfId="0" applyFont="1" applyFill="1" applyBorder="1" applyAlignment="1">
      <alignment horizontal="center" vertical="center" wrapText="1"/>
    </xf>
    <xf numFmtId="0" fontId="5" fillId="43" borderId="48" xfId="0" applyFont="1" applyFill="1" applyBorder="1" applyAlignment="1">
      <alignment horizontal="center" vertical="center" wrapText="1"/>
    </xf>
    <xf numFmtId="0" fontId="5" fillId="43" borderId="90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49" fontId="5" fillId="37" borderId="42" xfId="0" applyNumberFormat="1" applyFont="1" applyFill="1" applyBorder="1" applyAlignment="1">
      <alignment horizontal="center" vertical="center"/>
    </xf>
    <xf numFmtId="49" fontId="5" fillId="37" borderId="28" xfId="0" applyNumberFormat="1" applyFont="1" applyFill="1" applyBorder="1" applyAlignment="1">
      <alignment horizontal="center" vertical="center"/>
    </xf>
    <xf numFmtId="0" fontId="5" fillId="43" borderId="15" xfId="0" applyFont="1" applyFill="1" applyBorder="1" applyAlignment="1">
      <alignment horizontal="center" vertical="center" wrapText="1"/>
    </xf>
    <xf numFmtId="0" fontId="5" fillId="43" borderId="29" xfId="0" applyFont="1" applyFill="1" applyBorder="1" applyAlignment="1">
      <alignment horizontal="center" vertical="center" wrapText="1"/>
    </xf>
    <xf numFmtId="0" fontId="5" fillId="43" borderId="28" xfId="0" applyFont="1" applyFill="1" applyBorder="1" applyAlignment="1">
      <alignment horizontal="center" vertical="center"/>
    </xf>
    <xf numFmtId="0" fontId="5" fillId="38" borderId="0" xfId="0" applyFont="1" applyFill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43" borderId="14" xfId="0" applyFont="1" applyFill="1" applyBorder="1" applyAlignment="1">
      <alignment horizontal="center" vertical="center" wrapText="1"/>
    </xf>
    <xf numFmtId="49" fontId="5" fillId="43" borderId="12" xfId="0" applyNumberFormat="1" applyFont="1" applyFill="1" applyBorder="1" applyAlignment="1">
      <alignment horizontal="center" vertical="center"/>
    </xf>
    <xf numFmtId="49" fontId="5" fillId="43" borderId="28" xfId="0" applyNumberFormat="1" applyFont="1" applyFill="1" applyBorder="1" applyAlignment="1">
      <alignment horizontal="center" vertical="center"/>
    </xf>
    <xf numFmtId="0" fontId="5" fillId="43" borderId="52" xfId="0" applyFont="1" applyFill="1" applyBorder="1" applyAlignment="1">
      <alignment horizontal="center" vertical="center" wrapText="1"/>
    </xf>
    <xf numFmtId="0" fontId="5" fillId="43" borderId="32" xfId="0" applyFont="1" applyFill="1" applyBorder="1" applyAlignment="1">
      <alignment horizontal="center" vertical="center" wrapText="1"/>
    </xf>
    <xf numFmtId="49" fontId="5" fillId="37" borderId="30" xfId="0" applyNumberFormat="1" applyFont="1" applyFill="1" applyBorder="1" applyAlignment="1">
      <alignment horizontal="center" vertical="center"/>
    </xf>
    <xf numFmtId="49" fontId="5" fillId="37" borderId="46" xfId="0" applyNumberFormat="1" applyFont="1" applyFill="1" applyBorder="1" applyAlignment="1">
      <alignment horizontal="center" vertical="center"/>
    </xf>
    <xf numFmtId="49" fontId="5" fillId="37" borderId="54" xfId="0" applyNumberFormat="1" applyFont="1" applyFill="1" applyBorder="1" applyAlignment="1">
      <alignment horizontal="center" vertical="center"/>
    </xf>
    <xf numFmtId="0" fontId="5" fillId="0" borderId="0" xfId="59" applyFont="1" applyAlignment="1">
      <alignment horizontal="center" vertical="center"/>
      <protection/>
    </xf>
    <xf numFmtId="0" fontId="5" fillId="0" borderId="16" xfId="59" applyFont="1" applyBorder="1" applyAlignment="1">
      <alignment horizontal="center" vertical="center"/>
      <protection/>
    </xf>
    <xf numFmtId="0" fontId="5" fillId="0" borderId="10" xfId="59" applyFont="1" applyBorder="1" applyAlignment="1">
      <alignment horizontal="center" vertical="center"/>
      <protection/>
    </xf>
    <xf numFmtId="0" fontId="15" fillId="0" borderId="99" xfId="59" applyFont="1" applyBorder="1" applyAlignment="1">
      <alignment horizontal="left" wrapText="1"/>
      <protection/>
    </xf>
    <xf numFmtId="0" fontId="25" fillId="0" borderId="99" xfId="0" applyFont="1" applyBorder="1" applyAlignment="1">
      <alignment horizontal="left" wrapText="1"/>
    </xf>
    <xf numFmtId="0" fontId="72" fillId="0" borderId="0" xfId="0" applyFont="1" applyAlignment="1">
      <alignment horizontal="right" vertical="center"/>
    </xf>
    <xf numFmtId="0" fontId="5" fillId="0" borderId="44" xfId="0" applyFont="1" applyBorder="1" applyAlignment="1">
      <alignment horizontal="left" vertical="center"/>
    </xf>
    <xf numFmtId="0" fontId="5" fillId="35" borderId="49" xfId="0" applyFont="1" applyFill="1" applyBorder="1" applyAlignment="1">
      <alignment horizontal="center" vertical="center"/>
    </xf>
    <xf numFmtId="0" fontId="5" fillId="35" borderId="50" xfId="0" applyFont="1" applyFill="1" applyBorder="1" applyAlignment="1">
      <alignment horizontal="center" vertical="center"/>
    </xf>
    <xf numFmtId="0" fontId="5" fillId="35" borderId="68" xfId="0" applyFont="1" applyFill="1" applyBorder="1" applyAlignment="1">
      <alignment horizontal="center" vertical="center"/>
    </xf>
    <xf numFmtId="0" fontId="5" fillId="35" borderId="97" xfId="0" applyFont="1" applyFill="1" applyBorder="1" applyAlignment="1">
      <alignment horizontal="center" vertical="center"/>
    </xf>
    <xf numFmtId="0" fontId="5" fillId="35" borderId="98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72" fillId="35" borderId="68" xfId="0" applyFont="1" applyFill="1" applyBorder="1" applyAlignment="1">
      <alignment horizontal="center" vertical="center"/>
    </xf>
    <xf numFmtId="0" fontId="72" fillId="35" borderId="97" xfId="0" applyFont="1" applyFill="1" applyBorder="1" applyAlignment="1">
      <alignment horizontal="center" vertical="center"/>
    </xf>
    <xf numFmtId="0" fontId="72" fillId="35" borderId="25" xfId="0" applyFont="1" applyFill="1" applyBorder="1" applyAlignment="1">
      <alignment horizontal="center" vertical="center"/>
    </xf>
    <xf numFmtId="0" fontId="72" fillId="35" borderId="24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0" borderId="0" xfId="61" applyFont="1" applyAlignment="1">
      <alignment horizontal="right" vertical="center"/>
      <protection/>
    </xf>
    <xf numFmtId="0" fontId="5" fillId="0" borderId="0" xfId="62" applyFont="1" applyAlignment="1">
      <alignment horizontal="center" vertical="center" wrapText="1"/>
      <protection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" xfId="55"/>
    <cellStyle name="Normalny 5" xfId="56"/>
    <cellStyle name="Normalny 6" xfId="57"/>
    <cellStyle name="Normalny 6 2" xfId="58"/>
    <cellStyle name="Normalny_niewygasy 2006" xfId="59"/>
    <cellStyle name="Normalny_projekty IP2011 2" xfId="60"/>
    <cellStyle name="Normalny_tabele2007" xfId="61"/>
    <cellStyle name="Normalny_zaklady opieki zdrowotnej" xfId="62"/>
    <cellStyle name="Normalny_zaklady opieki zdrowotnej 2 2" xfId="63"/>
    <cellStyle name="Normalny_Zmiany w budżecie 2006" xfId="64"/>
    <cellStyle name="Obliczenia" xfId="65"/>
    <cellStyle name="Percent" xfId="66"/>
    <cellStyle name="Procentowy 2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e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47"/>
  <sheetViews>
    <sheetView tabSelected="1" view="pageBreakPreview" zoomScale="124" zoomScaleSheetLayoutView="124" zoomScalePageLayoutView="0" workbookViewId="0" topLeftCell="A1">
      <pane ySplit="7" topLeftCell="A8" activePane="bottomLeft" state="frozen"/>
      <selection pane="topLeft" activeCell="I244" sqref="I244"/>
      <selection pane="bottomLeft" activeCell="G32" sqref="G32"/>
    </sheetView>
  </sheetViews>
  <sheetFormatPr defaultColWidth="9.00390625" defaultRowHeight="12.75"/>
  <cols>
    <col min="1" max="1" width="14.375" style="1169" customWidth="1"/>
    <col min="2" max="2" width="17.00390625" style="1169" customWidth="1"/>
    <col min="3" max="3" width="13.75390625" style="1166" customWidth="1"/>
    <col min="4" max="4" width="13.875" style="1166" customWidth="1"/>
    <col min="5" max="5" width="14.25390625" style="1166" customWidth="1"/>
    <col min="6" max="6" width="13.625" style="1166" customWidth="1"/>
    <col min="7" max="7" width="17.25390625" style="1166" customWidth="1"/>
    <col min="8" max="8" width="5.25390625" style="1166" customWidth="1"/>
    <col min="9" max="9" width="13.875" style="1166" customWidth="1"/>
    <col min="10" max="10" width="13.375" style="1166" customWidth="1"/>
    <col min="11" max="16384" width="9.125" style="1166" customWidth="1"/>
  </cols>
  <sheetData>
    <row r="1" spans="1:6" ht="26.25" customHeight="1">
      <c r="A1" s="1166"/>
      <c r="B1" s="1166"/>
      <c r="F1" s="1167" t="s">
        <v>915</v>
      </c>
    </row>
    <row r="2" spans="1:6" ht="26.25" customHeight="1">
      <c r="A2" s="1168"/>
      <c r="B2" s="1168"/>
      <c r="C2" s="1168"/>
      <c r="D2" s="1168"/>
      <c r="E2" s="1168"/>
      <c r="F2" s="1168"/>
    </row>
    <row r="3" spans="1:6" ht="42.75" customHeight="1">
      <c r="A3" s="1409" t="s">
        <v>275</v>
      </c>
      <c r="B3" s="1409"/>
      <c r="C3" s="1409"/>
      <c r="D3" s="1409"/>
      <c r="E3" s="1409"/>
      <c r="F3" s="1409"/>
    </row>
    <row r="4" spans="6:8" ht="18" customHeight="1" thickBot="1">
      <c r="F4" s="1170" t="s">
        <v>169</v>
      </c>
      <c r="G4" s="1409"/>
      <c r="H4" s="1409"/>
    </row>
    <row r="5" spans="1:8" s="1171" customFormat="1" ht="18" customHeight="1">
      <c r="A5" s="1418" t="s">
        <v>460</v>
      </c>
      <c r="B5" s="1420" t="s">
        <v>1060</v>
      </c>
      <c r="C5" s="1410" t="s">
        <v>287</v>
      </c>
      <c r="D5" s="1422"/>
      <c r="E5" s="1410" t="s">
        <v>288</v>
      </c>
      <c r="F5" s="1411"/>
      <c r="G5" s="1409"/>
      <c r="H5" s="1409"/>
    </row>
    <row r="6" spans="1:6" s="1174" customFormat="1" ht="18" customHeight="1">
      <c r="A6" s="1419"/>
      <c r="B6" s="1421"/>
      <c r="C6" s="1172" t="s">
        <v>461</v>
      </c>
      <c r="D6" s="1172" t="s">
        <v>462</v>
      </c>
      <c r="E6" s="1172" t="s">
        <v>461</v>
      </c>
      <c r="F6" s="1173" t="s">
        <v>462</v>
      </c>
    </row>
    <row r="7" spans="1:6" s="1179" customFormat="1" ht="13.5" customHeight="1">
      <c r="A7" s="1175">
        <v>1</v>
      </c>
      <c r="B7" s="1176">
        <v>2</v>
      </c>
      <c r="C7" s="1177">
        <v>3</v>
      </c>
      <c r="D7" s="1177">
        <v>4</v>
      </c>
      <c r="E7" s="1177">
        <v>5</v>
      </c>
      <c r="F7" s="1178">
        <v>6</v>
      </c>
    </row>
    <row r="8" spans="1:6" s="1174" customFormat="1" ht="18" customHeight="1">
      <c r="A8" s="1416" t="s">
        <v>1279</v>
      </c>
      <c r="B8" s="1417"/>
      <c r="C8" s="1412">
        <v>343840947</v>
      </c>
      <c r="D8" s="1414"/>
      <c r="E8" s="1412">
        <v>361336576</v>
      </c>
      <c r="F8" s="1413"/>
    </row>
    <row r="9" spans="1:10" s="1191" customFormat="1" ht="18" customHeight="1">
      <c r="A9" s="1187" t="s">
        <v>1524</v>
      </c>
      <c r="B9" s="1188" t="s">
        <v>1525</v>
      </c>
      <c r="C9" s="1189">
        <v>0</v>
      </c>
      <c r="D9" s="1189">
        <v>0</v>
      </c>
      <c r="E9" s="1189">
        <v>-823354</v>
      </c>
      <c r="F9" s="1190">
        <v>823354</v>
      </c>
      <c r="I9" s="1192"/>
      <c r="J9" s="1192"/>
    </row>
    <row r="10" spans="1:10" ht="18" customHeight="1">
      <c r="A10" s="1187" t="s">
        <v>1526</v>
      </c>
      <c r="B10" s="1188" t="s">
        <v>1527</v>
      </c>
      <c r="C10" s="1189">
        <v>0</v>
      </c>
      <c r="D10" s="1190">
        <v>10037.41</v>
      </c>
      <c r="E10" s="1189">
        <v>0</v>
      </c>
      <c r="F10" s="1190">
        <v>10037.41</v>
      </c>
      <c r="H10" s="1191"/>
      <c r="I10" s="1192"/>
      <c r="J10" s="1192"/>
    </row>
    <row r="11" spans="1:10" s="1191" customFormat="1" ht="18" customHeight="1">
      <c r="A11" s="1187" t="s">
        <v>1526</v>
      </c>
      <c r="B11" s="1188" t="s">
        <v>1528</v>
      </c>
      <c r="C11" s="1189">
        <v>0</v>
      </c>
      <c r="D11" s="1189">
        <v>0</v>
      </c>
      <c r="E11" s="1189">
        <v>-1493945</v>
      </c>
      <c r="F11" s="1190">
        <v>1493945</v>
      </c>
      <c r="I11" s="1192"/>
      <c r="J11" s="1192"/>
    </row>
    <row r="12" spans="1:10" s="1191" customFormat="1" ht="18" customHeight="1">
      <c r="A12" s="1187" t="s">
        <v>1530</v>
      </c>
      <c r="B12" s="1188" t="s">
        <v>1529</v>
      </c>
      <c r="C12" s="1189">
        <v>0</v>
      </c>
      <c r="D12" s="1189">
        <v>0</v>
      </c>
      <c r="E12" s="1189">
        <v>-484539</v>
      </c>
      <c r="F12" s="1190">
        <v>484539</v>
      </c>
      <c r="I12" s="1192"/>
      <c r="J12" s="1192"/>
    </row>
    <row r="13" spans="1:10" s="1191" customFormat="1" ht="18" customHeight="1">
      <c r="A13" s="1187" t="s">
        <v>1531</v>
      </c>
      <c r="B13" s="1188" t="s">
        <v>1532</v>
      </c>
      <c r="C13" s="1189">
        <v>-20000</v>
      </c>
      <c r="D13" s="1189">
        <v>161972</v>
      </c>
      <c r="E13" s="1189">
        <v>-20000</v>
      </c>
      <c r="F13" s="1190">
        <v>161972</v>
      </c>
      <c r="I13" s="1192"/>
      <c r="J13" s="1192"/>
    </row>
    <row r="14" spans="1:10" ht="18" customHeight="1">
      <c r="A14" s="1187" t="s">
        <v>1533</v>
      </c>
      <c r="B14" s="1188" t="s">
        <v>1534</v>
      </c>
      <c r="C14" s="1189">
        <v>0</v>
      </c>
      <c r="D14" s="1189">
        <v>0</v>
      </c>
      <c r="E14" s="1189">
        <v>-2586980</v>
      </c>
      <c r="F14" s="1190">
        <v>2586980</v>
      </c>
      <c r="H14" s="1191"/>
      <c r="I14" s="1192"/>
      <c r="J14" s="1192"/>
    </row>
    <row r="15" spans="1:10" s="1191" customFormat="1" ht="18" customHeight="1">
      <c r="A15" s="1187" t="s">
        <v>1535</v>
      </c>
      <c r="B15" s="1188" t="s">
        <v>1536</v>
      </c>
      <c r="C15" s="1189">
        <v>0</v>
      </c>
      <c r="D15" s="1189">
        <v>0</v>
      </c>
      <c r="E15" s="1189">
        <v>-490524</v>
      </c>
      <c r="F15" s="1190">
        <v>490524</v>
      </c>
      <c r="I15" s="1192"/>
      <c r="J15" s="1192"/>
    </row>
    <row r="16" spans="1:10" ht="18" customHeight="1">
      <c r="A16" s="1187" t="s">
        <v>1537</v>
      </c>
      <c r="B16" s="1188" t="s">
        <v>1538</v>
      </c>
      <c r="C16" s="1189">
        <v>0</v>
      </c>
      <c r="D16" s="1189">
        <v>25955</v>
      </c>
      <c r="E16" s="1189">
        <v>0</v>
      </c>
      <c r="F16" s="1190">
        <v>25955</v>
      </c>
      <c r="H16" s="1191"/>
      <c r="I16" s="1192"/>
      <c r="J16" s="1192"/>
    </row>
    <row r="17" spans="1:10" ht="18" customHeight="1">
      <c r="A17" s="1193" t="s">
        <v>1542</v>
      </c>
      <c r="B17" s="1188" t="s">
        <v>1543</v>
      </c>
      <c r="C17" s="1189">
        <v>-9076605</v>
      </c>
      <c r="D17" s="1189">
        <v>7885808</v>
      </c>
      <c r="E17" s="1189">
        <v>-600</v>
      </c>
      <c r="F17" s="1190">
        <v>532174</v>
      </c>
      <c r="H17" s="1191"/>
      <c r="I17" s="1192"/>
      <c r="J17" s="1192"/>
    </row>
    <row r="18" spans="1:10" s="1191" customFormat="1" ht="18" customHeight="1">
      <c r="A18" s="1193" t="s">
        <v>1539</v>
      </c>
      <c r="B18" s="1188" t="s">
        <v>1541</v>
      </c>
      <c r="C18" s="1189">
        <v>0</v>
      </c>
      <c r="D18" s="1189">
        <v>0</v>
      </c>
      <c r="E18" s="1189">
        <v>-1000841</v>
      </c>
      <c r="F18" s="1190">
        <v>1000841</v>
      </c>
      <c r="I18" s="1192"/>
      <c r="J18" s="1192"/>
    </row>
    <row r="19" spans="1:10" ht="18" customHeight="1">
      <c r="A19" s="1193" t="s">
        <v>1539</v>
      </c>
      <c r="B19" s="1188" t="s">
        <v>1540</v>
      </c>
      <c r="C19" s="1189">
        <v>0</v>
      </c>
      <c r="D19" s="1189">
        <v>45616</v>
      </c>
      <c r="E19" s="1189">
        <v>0</v>
      </c>
      <c r="F19" s="1190">
        <v>45616</v>
      </c>
      <c r="H19" s="1191"/>
      <c r="I19" s="1192"/>
      <c r="J19" s="1192"/>
    </row>
    <row r="20" spans="1:10" ht="18" customHeight="1">
      <c r="A20" s="1193" t="s">
        <v>1544</v>
      </c>
      <c r="B20" s="1188" t="s">
        <v>1545</v>
      </c>
      <c r="C20" s="1189">
        <v>0</v>
      </c>
      <c r="D20" s="1189">
        <v>125781</v>
      </c>
      <c r="E20" s="1189">
        <v>0</v>
      </c>
      <c r="F20" s="1190">
        <v>125781</v>
      </c>
      <c r="H20" s="1191"/>
      <c r="I20" s="1192"/>
      <c r="J20" s="1192"/>
    </row>
    <row r="21" spans="1:10" ht="18" customHeight="1">
      <c r="A21" s="1193" t="s">
        <v>1546</v>
      </c>
      <c r="B21" s="1188" t="s">
        <v>1547</v>
      </c>
      <c r="C21" s="1189">
        <v>0</v>
      </c>
      <c r="D21" s="1189">
        <v>0</v>
      </c>
      <c r="E21" s="1189">
        <v>-20400</v>
      </c>
      <c r="F21" s="1190">
        <v>20400</v>
      </c>
      <c r="H21" s="1191"/>
      <c r="I21" s="1192"/>
      <c r="J21" s="1192"/>
    </row>
    <row r="22" spans="1:10" ht="18" customHeight="1">
      <c r="A22" s="1193" t="s">
        <v>1548</v>
      </c>
      <c r="B22" s="1188" t="s">
        <v>1549</v>
      </c>
      <c r="C22" s="1189">
        <v>0</v>
      </c>
      <c r="D22" s="1189">
        <v>60000</v>
      </c>
      <c r="E22" s="1189">
        <v>0</v>
      </c>
      <c r="F22" s="1190">
        <v>147000</v>
      </c>
      <c r="H22" s="1191"/>
      <c r="I22" s="1192"/>
      <c r="J22" s="1192"/>
    </row>
    <row r="23" spans="1:10" ht="18" customHeight="1">
      <c r="A23" s="1193" t="s">
        <v>1548</v>
      </c>
      <c r="B23" s="1188" t="s">
        <v>1550</v>
      </c>
      <c r="C23" s="1189">
        <v>0</v>
      </c>
      <c r="D23" s="1189">
        <v>234038.33</v>
      </c>
      <c r="E23" s="1189">
        <v>0</v>
      </c>
      <c r="F23" s="1190">
        <v>234038.33</v>
      </c>
      <c r="H23" s="1191"/>
      <c r="I23" s="1192"/>
      <c r="J23" s="1192"/>
    </row>
    <row r="24" spans="1:10" ht="18" customHeight="1">
      <c r="A24" s="1193" t="s">
        <v>1551</v>
      </c>
      <c r="B24" s="1188" t="s">
        <v>1552</v>
      </c>
      <c r="C24" s="1189">
        <v>0</v>
      </c>
      <c r="D24" s="1189">
        <v>0</v>
      </c>
      <c r="E24" s="1189">
        <v>-367504</v>
      </c>
      <c r="F24" s="1190">
        <v>367504</v>
      </c>
      <c r="H24" s="1191"/>
      <c r="I24" s="1192"/>
      <c r="J24" s="1192"/>
    </row>
    <row r="25" spans="1:10" ht="18" customHeight="1">
      <c r="A25" s="1193" t="s">
        <v>1553</v>
      </c>
      <c r="B25" s="1188" t="s">
        <v>1554</v>
      </c>
      <c r="C25" s="1189">
        <v>0</v>
      </c>
      <c r="D25" s="1189">
        <v>0</v>
      </c>
      <c r="E25" s="1189">
        <v>-20580</v>
      </c>
      <c r="F25" s="1190">
        <v>20580</v>
      </c>
      <c r="H25" s="1191"/>
      <c r="I25" s="1192"/>
      <c r="J25" s="1192"/>
    </row>
    <row r="26" spans="1:10" ht="18" customHeight="1">
      <c r="A26" s="1193" t="s">
        <v>1557</v>
      </c>
      <c r="B26" s="1188" t="s">
        <v>1558</v>
      </c>
      <c r="C26" s="1189">
        <v>-26510326</v>
      </c>
      <c r="D26" s="1189">
        <v>625822</v>
      </c>
      <c r="E26" s="1189">
        <v>-167036</v>
      </c>
      <c r="F26" s="1190">
        <v>4297860</v>
      </c>
      <c r="H26" s="1191"/>
      <c r="I26" s="1192"/>
      <c r="J26" s="1192"/>
    </row>
    <row r="27" spans="1:10" ht="18" customHeight="1">
      <c r="A27" s="1193" t="s">
        <v>1555</v>
      </c>
      <c r="B27" s="1188" t="s">
        <v>1556</v>
      </c>
      <c r="C27" s="1189">
        <v>0</v>
      </c>
      <c r="D27" s="1189">
        <v>0</v>
      </c>
      <c r="E27" s="1189">
        <v>-351495</v>
      </c>
      <c r="F27" s="1190">
        <v>351495</v>
      </c>
      <c r="H27" s="1191"/>
      <c r="I27" s="1192"/>
      <c r="J27" s="1192"/>
    </row>
    <row r="28" spans="1:10" ht="18" customHeight="1">
      <c r="A28" s="1193" t="s">
        <v>1559</v>
      </c>
      <c r="B28" s="1188" t="s">
        <v>1560</v>
      </c>
      <c r="C28" s="1189">
        <v>0</v>
      </c>
      <c r="D28" s="1189">
        <v>306508</v>
      </c>
      <c r="E28" s="1189">
        <v>0</v>
      </c>
      <c r="F28" s="1190">
        <v>306508</v>
      </c>
      <c r="H28" s="1191"/>
      <c r="I28" s="1192"/>
      <c r="J28" s="1192"/>
    </row>
    <row r="29" spans="1:10" ht="18" customHeight="1">
      <c r="A29" s="1193" t="s">
        <v>1559</v>
      </c>
      <c r="B29" s="1188" t="s">
        <v>1561</v>
      </c>
      <c r="C29" s="1189">
        <v>0</v>
      </c>
      <c r="D29" s="1189">
        <v>0</v>
      </c>
      <c r="E29" s="1189">
        <v>-246251</v>
      </c>
      <c r="F29" s="1190">
        <v>246251</v>
      </c>
      <c r="H29" s="1191"/>
      <c r="I29" s="1192"/>
      <c r="J29" s="1192"/>
    </row>
    <row r="30" spans="1:10" ht="18" customHeight="1">
      <c r="A30" s="1193" t="s">
        <v>1562</v>
      </c>
      <c r="B30" s="1188" t="s">
        <v>1563</v>
      </c>
      <c r="C30" s="1189">
        <v>0</v>
      </c>
      <c r="D30" s="1189">
        <v>0</v>
      </c>
      <c r="E30" s="1189">
        <v>-163304</v>
      </c>
      <c r="F30" s="1190">
        <v>163304</v>
      </c>
      <c r="H30" s="1191"/>
      <c r="I30" s="1192"/>
      <c r="J30" s="1192"/>
    </row>
    <row r="31" spans="1:10" ht="18" customHeight="1">
      <c r="A31" s="1193" t="s">
        <v>1564</v>
      </c>
      <c r="B31" s="1188" t="s">
        <v>1565</v>
      </c>
      <c r="C31" s="1189">
        <v>0</v>
      </c>
      <c r="D31" s="1189">
        <v>68049</v>
      </c>
      <c r="E31" s="1189">
        <v>0</v>
      </c>
      <c r="F31" s="1190">
        <v>68049</v>
      </c>
      <c r="H31" s="1191"/>
      <c r="I31" s="1192"/>
      <c r="J31" s="1192"/>
    </row>
    <row r="32" spans="1:10" ht="18" customHeight="1">
      <c r="A32" s="1193" t="s">
        <v>1564</v>
      </c>
      <c r="B32" s="1188" t="s">
        <v>1566</v>
      </c>
      <c r="C32" s="1189">
        <v>0</v>
      </c>
      <c r="D32" s="1189">
        <v>0</v>
      </c>
      <c r="E32" s="1189">
        <v>-418250</v>
      </c>
      <c r="F32" s="1190">
        <v>418250</v>
      </c>
      <c r="H32" s="1191"/>
      <c r="I32" s="1192"/>
      <c r="J32" s="1192"/>
    </row>
    <row r="33" spans="1:10" ht="18" customHeight="1" hidden="1">
      <c r="A33" s="1193"/>
      <c r="B33" s="1188"/>
      <c r="C33" s="1189"/>
      <c r="D33" s="1189"/>
      <c r="E33" s="1189"/>
      <c r="F33" s="1190"/>
      <c r="H33" s="1191"/>
      <c r="I33" s="1192"/>
      <c r="J33" s="1192"/>
    </row>
    <row r="34" spans="1:6" s="1174" customFormat="1" ht="18" customHeight="1">
      <c r="A34" s="1416" t="s">
        <v>820</v>
      </c>
      <c r="B34" s="1417"/>
      <c r="C34" s="1185">
        <f>SUM(C9:C33)</f>
        <v>-35606931</v>
      </c>
      <c r="D34" s="1185">
        <f>SUM(D9:D33)</f>
        <v>9549586.74</v>
      </c>
      <c r="E34" s="1185">
        <f>SUM(E9:E33)</f>
        <v>-8655603</v>
      </c>
      <c r="F34" s="1186">
        <f>SUM(F9:F33)</f>
        <v>14422957.74</v>
      </c>
    </row>
    <row r="35" spans="1:6" s="1174" customFormat="1" ht="18" customHeight="1">
      <c r="A35" s="1416" t="s">
        <v>464</v>
      </c>
      <c r="B35" s="1417"/>
      <c r="C35" s="1412">
        <f>SUM(C34:D34)</f>
        <v>-26057344.259999998</v>
      </c>
      <c r="D35" s="1414"/>
      <c r="E35" s="1412">
        <f>SUM(E34:F34)</f>
        <v>5767354.74</v>
      </c>
      <c r="F35" s="1413"/>
    </row>
    <row r="36" spans="1:6" s="1174" customFormat="1" ht="18" customHeight="1" thickBot="1">
      <c r="A36" s="1402" t="s">
        <v>465</v>
      </c>
      <c r="B36" s="1403"/>
      <c r="C36" s="1407">
        <f>SUM(C8,C35)</f>
        <v>317783602.74</v>
      </c>
      <c r="D36" s="1415"/>
      <c r="E36" s="1407">
        <f>SUM(E8,E35)</f>
        <v>367103930.74</v>
      </c>
      <c r="F36" s="1408"/>
    </row>
    <row r="37" spans="1:2" s="1174" customFormat="1" ht="12.75" customHeight="1">
      <c r="A37" s="1194"/>
      <c r="B37" s="1194"/>
    </row>
    <row r="38" spans="1:6" s="1174" customFormat="1" ht="12.75" hidden="1">
      <c r="A38" s="1194"/>
      <c r="B38" s="1194" t="s">
        <v>252</v>
      </c>
      <c r="C38" s="1405">
        <v>317783602.74</v>
      </c>
      <c r="D38" s="1405"/>
      <c r="E38" s="1405">
        <v>367103930.74</v>
      </c>
      <c r="F38" s="1405"/>
    </row>
    <row r="39" spans="1:6" s="1174" customFormat="1" ht="12.75" hidden="1">
      <c r="A39" s="1194"/>
      <c r="B39" s="1194" t="s">
        <v>931</v>
      </c>
      <c r="C39" s="1405">
        <f>C36-C38</f>
        <v>0</v>
      </c>
      <c r="D39" s="1406"/>
      <c r="E39" s="1405">
        <f>E36-E38</f>
        <v>0</v>
      </c>
      <c r="F39" s="1406"/>
    </row>
    <row r="40" spans="1:2" s="1174" customFormat="1" ht="12.75">
      <c r="A40" s="1194"/>
      <c r="B40" s="1194"/>
    </row>
    <row r="42" spans="3:6" ht="12.75">
      <c r="C42" s="1404"/>
      <c r="D42" s="1404"/>
      <c r="E42" s="1404"/>
      <c r="F42" s="1404"/>
    </row>
    <row r="46" spans="2:6" ht="12.75" hidden="1">
      <c r="B46" s="1169" t="s">
        <v>964</v>
      </c>
      <c r="C46" s="1404">
        <v>220874066.78</v>
      </c>
      <c r="D46" s="1404"/>
      <c r="E46" s="1404">
        <v>265045705.78</v>
      </c>
      <c r="F46" s="1404"/>
    </row>
    <row r="47" spans="2:6" ht="12.75" hidden="1">
      <c r="B47" s="1169" t="s">
        <v>931</v>
      </c>
      <c r="C47" s="1404">
        <f>C36-C46</f>
        <v>96909535.96000001</v>
      </c>
      <c r="D47" s="1404"/>
      <c r="E47" s="1404">
        <f>E36-E46</f>
        <v>102058224.96000001</v>
      </c>
      <c r="F47" s="1404"/>
    </row>
  </sheetData>
  <sheetProtection password="CF53" sheet="1" formatCells="0" formatColumns="0" formatRows="0" insertColumns="0" insertRows="0" insertHyperlinks="0" deleteColumns="0" deleteRows="0" sort="0" autoFilter="0" pivotTables="0"/>
  <mergeCells count="27">
    <mergeCell ref="A34:B34"/>
    <mergeCell ref="A35:B35"/>
    <mergeCell ref="A3:F3"/>
    <mergeCell ref="E8:F8"/>
    <mergeCell ref="A5:A6"/>
    <mergeCell ref="B5:B6"/>
    <mergeCell ref="C5:D5"/>
    <mergeCell ref="A8:B8"/>
    <mergeCell ref="C8:D8"/>
    <mergeCell ref="H4:H5"/>
    <mergeCell ref="E5:F5"/>
    <mergeCell ref="E35:F35"/>
    <mergeCell ref="C42:D42"/>
    <mergeCell ref="E42:F42"/>
    <mergeCell ref="C35:D35"/>
    <mergeCell ref="C36:D36"/>
    <mergeCell ref="C38:D38"/>
    <mergeCell ref="G4:G5"/>
    <mergeCell ref="A36:B36"/>
    <mergeCell ref="E47:F47"/>
    <mergeCell ref="C39:D39"/>
    <mergeCell ref="E39:F39"/>
    <mergeCell ref="E36:F36"/>
    <mergeCell ref="E38:F38"/>
    <mergeCell ref="C47:D47"/>
    <mergeCell ref="C46:D46"/>
    <mergeCell ref="E46:F46"/>
  </mergeCells>
  <printOptions/>
  <pageMargins left="0.7480314960629921" right="0.7480314960629921" top="0.984251968503937" bottom="0.984251968503937" header="0.5118110236220472" footer="0.5118110236220472"/>
  <pageSetup firstPageNumber="6" useFirstPageNumber="1"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L146"/>
  <sheetViews>
    <sheetView view="pageBreakPreview" zoomScale="112" zoomScaleSheetLayoutView="112" zoomScalePageLayoutView="0" workbookViewId="0" topLeftCell="A1">
      <selection activeCell="A55" sqref="A55"/>
    </sheetView>
  </sheetViews>
  <sheetFormatPr defaultColWidth="9.00390625" defaultRowHeight="12.75"/>
  <cols>
    <col min="1" max="1" width="3.375" style="247" customWidth="1"/>
    <col min="2" max="2" width="7.375" style="247" customWidth="1"/>
    <col min="3" max="3" width="42.625" style="2" customWidth="1"/>
    <col min="4" max="4" width="12.75390625" style="2" customWidth="1"/>
    <col min="5" max="5" width="12.625" style="2" customWidth="1"/>
    <col min="6" max="6" width="6.125" style="2" customWidth="1"/>
    <col min="7" max="7" width="5.75390625" style="3" hidden="1" customWidth="1"/>
    <col min="8" max="8" width="11.625" style="246" hidden="1" customWidth="1"/>
    <col min="9" max="9" width="11.75390625" style="1075" hidden="1" customWidth="1"/>
    <col min="10" max="10" width="9.125" style="263" hidden="1" customWidth="1"/>
    <col min="11" max="11" width="9.125" style="2" hidden="1" customWidth="1"/>
    <col min="12" max="12" width="13.625" style="2" hidden="1" customWidth="1"/>
    <col min="13" max="15" width="9.125" style="2" customWidth="1"/>
    <col min="16" max="16" width="8.875" style="2" customWidth="1"/>
    <col min="17" max="16384" width="9.125" style="2" customWidth="1"/>
  </cols>
  <sheetData>
    <row r="1" spans="5:6" ht="12.75">
      <c r="E1" s="1484" t="s">
        <v>919</v>
      </c>
      <c r="F1" s="1484"/>
    </row>
    <row r="2" spans="5:6" ht="12.75">
      <c r="E2" s="246"/>
      <c r="F2" s="246"/>
    </row>
    <row r="3" spans="1:6" ht="12.75">
      <c r="A3" s="1443" t="s">
        <v>1517</v>
      </c>
      <c r="B3" s="1443"/>
      <c r="C3" s="1443"/>
      <c r="D3" s="1443"/>
      <c r="E3" s="1443"/>
      <c r="F3" s="1443"/>
    </row>
    <row r="4" spans="1:6" ht="13.5" customHeight="1" hidden="1">
      <c r="A4" s="1"/>
      <c r="B4" s="1"/>
      <c r="C4" s="1"/>
      <c r="D4" s="1"/>
      <c r="E4" s="1"/>
      <c r="F4" s="1"/>
    </row>
    <row r="5" spans="1:6" ht="28.5" customHeight="1" thickBot="1">
      <c r="A5" s="1497" t="s">
        <v>971</v>
      </c>
      <c r="B5" s="1498"/>
      <c r="C5" s="1498"/>
      <c r="D5" s="1498"/>
      <c r="E5" s="1498"/>
      <c r="F5" s="1076" t="s">
        <v>169</v>
      </c>
    </row>
    <row r="6" spans="1:10" s="493" customFormat="1" ht="17.25" customHeight="1">
      <c r="A6" s="771" t="s">
        <v>823</v>
      </c>
      <c r="B6" s="773" t="s">
        <v>170</v>
      </c>
      <c r="C6" s="774" t="s">
        <v>123</v>
      </c>
      <c r="D6" s="251" t="s">
        <v>172</v>
      </c>
      <c r="E6" s="1385" t="s">
        <v>173</v>
      </c>
      <c r="F6" s="252" t="s">
        <v>559</v>
      </c>
      <c r="G6" s="486"/>
      <c r="H6" s="1510" t="s">
        <v>753</v>
      </c>
      <c r="I6" s="1510"/>
      <c r="J6" s="1077"/>
    </row>
    <row r="7" spans="1:10" s="1085" customFormat="1" ht="11.25" customHeight="1">
      <c r="A7" s="1078">
        <v>1</v>
      </c>
      <c r="B7" s="1079">
        <v>2</v>
      </c>
      <c r="C7" s="1079">
        <v>3</v>
      </c>
      <c r="D7" s="1079">
        <v>4</v>
      </c>
      <c r="E7" s="1080">
        <v>5</v>
      </c>
      <c r="F7" s="1081">
        <v>6</v>
      </c>
      <c r="G7" s="17"/>
      <c r="H7" s="1082"/>
      <c r="I7" s="1083"/>
      <c r="J7" s="1084"/>
    </row>
    <row r="8" spans="1:6" ht="18" customHeight="1">
      <c r="A8" s="1491" t="s">
        <v>497</v>
      </c>
      <c r="B8" s="1492"/>
      <c r="C8" s="1493"/>
      <c r="D8" s="787">
        <f>SUM(D9,D10)</f>
        <v>3692500</v>
      </c>
      <c r="E8" s="787">
        <f>SUM(E9,E10)</f>
        <v>1878825</v>
      </c>
      <c r="F8" s="1086">
        <f>E8/D8*100</f>
        <v>50.88219363574814</v>
      </c>
    </row>
    <row r="9" spans="1:7" ht="44.25" customHeight="1">
      <c r="A9" s="269" t="s">
        <v>826</v>
      </c>
      <c r="B9" s="265">
        <v>70001</v>
      </c>
      <c r="C9" s="1087" t="s">
        <v>1513</v>
      </c>
      <c r="D9" s="737">
        <f>SUM(9W!D75)</f>
        <v>892500</v>
      </c>
      <c r="E9" s="737">
        <f>SUM(9W!E75)</f>
        <v>479000</v>
      </c>
      <c r="F9" s="1088">
        <f>E9/D9*100</f>
        <v>53.66946778711485</v>
      </c>
      <c r="G9" s="1089" t="s">
        <v>992</v>
      </c>
    </row>
    <row r="10" spans="1:10" ht="164.25" customHeight="1" thickBot="1">
      <c r="A10" s="794" t="s">
        <v>827</v>
      </c>
      <c r="B10" s="1100">
        <v>92605</v>
      </c>
      <c r="C10" s="1120" t="s">
        <v>1591</v>
      </c>
      <c r="D10" s="1102">
        <v>2800000</v>
      </c>
      <c r="E10" s="1102">
        <v>1399825</v>
      </c>
      <c r="F10" s="1103">
        <f>E10/D10*100</f>
        <v>49.99375</v>
      </c>
      <c r="G10" s="1089" t="s">
        <v>992</v>
      </c>
      <c r="J10" s="263" t="s">
        <v>1173</v>
      </c>
    </row>
    <row r="11" spans="1:6" ht="17.25" customHeight="1" thickBot="1" thickTop="1">
      <c r="A11" s="1488" t="s">
        <v>500</v>
      </c>
      <c r="B11" s="1489"/>
      <c r="C11" s="1490"/>
      <c r="D11" s="845">
        <f>SUM(D8)</f>
        <v>3692500</v>
      </c>
      <c r="E11" s="845">
        <f>SUM(E8)</f>
        <v>1878825</v>
      </c>
      <c r="F11" s="1090">
        <f>E11/D11*100</f>
        <v>50.88219363574814</v>
      </c>
    </row>
    <row r="12" ht="35.25" customHeight="1">
      <c r="F12" s="718"/>
    </row>
    <row r="13" spans="1:10" s="3" customFormat="1" ht="43.5" customHeight="1" thickBot="1">
      <c r="A13" s="1499" t="s">
        <v>795</v>
      </c>
      <c r="B13" s="1499"/>
      <c r="C13" s="1499"/>
      <c r="D13" s="1499"/>
      <c r="E13" s="1499"/>
      <c r="F13" s="1499"/>
      <c r="H13" s="246"/>
      <c r="I13" s="1075"/>
      <c r="J13" s="288"/>
    </row>
    <row r="14" spans="1:10" s="493" customFormat="1" ht="19.5" customHeight="1">
      <c r="A14" s="250" t="s">
        <v>823</v>
      </c>
      <c r="B14" s="6" t="s">
        <v>170</v>
      </c>
      <c r="C14" s="774" t="s">
        <v>123</v>
      </c>
      <c r="D14" s="251" t="s">
        <v>172</v>
      </c>
      <c r="E14" s="1386" t="s">
        <v>173</v>
      </c>
      <c r="F14" s="252" t="s">
        <v>559</v>
      </c>
      <c r="G14" s="486"/>
      <c r="H14" s="719"/>
      <c r="I14" s="1105"/>
      <c r="J14" s="1077"/>
    </row>
    <row r="15" spans="1:10" s="592" customFormat="1" ht="10.5" customHeight="1">
      <c r="A15" s="1078">
        <v>1</v>
      </c>
      <c r="B15" s="1079">
        <v>2</v>
      </c>
      <c r="C15" s="1079">
        <v>3</v>
      </c>
      <c r="D15" s="1079">
        <v>4</v>
      </c>
      <c r="E15" s="1080">
        <v>5</v>
      </c>
      <c r="F15" s="1081">
        <v>6</v>
      </c>
      <c r="G15" s="255"/>
      <c r="H15" s="1082"/>
      <c r="I15" s="1083"/>
      <c r="J15" s="1106"/>
    </row>
    <row r="16" spans="1:6" ht="18.75" customHeight="1">
      <c r="A16" s="1491" t="s">
        <v>497</v>
      </c>
      <c r="B16" s="1492"/>
      <c r="C16" s="1493"/>
      <c r="D16" s="787">
        <f>SUM(D17:D36)</f>
        <v>8131565</v>
      </c>
      <c r="E16" s="787">
        <f>SUM(E17:E35)</f>
        <v>3851049.0900000003</v>
      </c>
      <c r="F16" s="1086">
        <f>E16/D16*100</f>
        <v>47.3592609786677</v>
      </c>
    </row>
    <row r="17" spans="1:12" ht="30" customHeight="1">
      <c r="A17" s="269" t="s">
        <v>826</v>
      </c>
      <c r="B17" s="265">
        <v>80101</v>
      </c>
      <c r="C17" s="264" t="s">
        <v>82</v>
      </c>
      <c r="D17" s="737">
        <v>463891</v>
      </c>
      <c r="E17" s="737">
        <v>216429.45</v>
      </c>
      <c r="F17" s="1088">
        <f aca="true" t="shared" si="0" ref="F17:F58">E17/D17*100</f>
        <v>46.6552379761625</v>
      </c>
      <c r="G17" s="1107" t="s">
        <v>993</v>
      </c>
      <c r="H17" s="1108">
        <f>SUM(D17:D18)</f>
        <v>620959</v>
      </c>
      <c r="J17" s="263" t="s">
        <v>1172</v>
      </c>
      <c r="L17" s="263">
        <f>SUM(E17:E30)</f>
        <v>1390094.0900000003</v>
      </c>
    </row>
    <row r="18" spans="1:10" ht="24.75" customHeight="1">
      <c r="A18" s="269" t="s">
        <v>827</v>
      </c>
      <c r="B18" s="265">
        <v>80101</v>
      </c>
      <c r="C18" s="264" t="s">
        <v>1218</v>
      </c>
      <c r="D18" s="737">
        <v>157068</v>
      </c>
      <c r="E18" s="737">
        <v>82294.32</v>
      </c>
      <c r="F18" s="1088">
        <f t="shared" si="0"/>
        <v>52.39407135762855</v>
      </c>
      <c r="G18" s="1107" t="s">
        <v>993</v>
      </c>
      <c r="H18" s="1108"/>
      <c r="J18" s="263" t="s">
        <v>1172</v>
      </c>
    </row>
    <row r="19" spans="1:8" ht="27.75" customHeight="1">
      <c r="A19" s="269" t="s">
        <v>942</v>
      </c>
      <c r="B19" s="265">
        <v>80103</v>
      </c>
      <c r="C19" s="264" t="s">
        <v>82</v>
      </c>
      <c r="D19" s="737">
        <f>SUM(9W!D291)</f>
        <v>11973</v>
      </c>
      <c r="E19" s="737">
        <f>SUM(9W!E291)</f>
        <v>4026.24</v>
      </c>
      <c r="F19" s="1088">
        <f t="shared" si="0"/>
        <v>33.62766224004009</v>
      </c>
      <c r="G19" s="1107" t="s">
        <v>993</v>
      </c>
      <c r="H19" s="776"/>
    </row>
    <row r="20" spans="1:10" ht="24" customHeight="1">
      <c r="A20" s="269" t="s">
        <v>949</v>
      </c>
      <c r="B20" s="265">
        <v>80104</v>
      </c>
      <c r="C20" s="1091" t="s">
        <v>306</v>
      </c>
      <c r="D20" s="737">
        <v>778079</v>
      </c>
      <c r="E20" s="737">
        <v>298949.82</v>
      </c>
      <c r="F20" s="1088">
        <f t="shared" si="0"/>
        <v>38.421525320693654</v>
      </c>
      <c r="G20" s="1109" t="s">
        <v>993</v>
      </c>
      <c r="H20" s="1108">
        <f>SUM(D20:D22)</f>
        <v>1666005</v>
      </c>
      <c r="I20" s="1075">
        <f>SUM(E20:E21)</f>
        <v>472058.33999999997</v>
      </c>
      <c r="J20" s="263" t="s">
        <v>1172</v>
      </c>
    </row>
    <row r="21" spans="1:10" ht="24" customHeight="1">
      <c r="A21" s="269" t="s">
        <v>950</v>
      </c>
      <c r="B21" s="265">
        <v>80104</v>
      </c>
      <c r="C21" s="1091" t="s">
        <v>307</v>
      </c>
      <c r="D21" s="737">
        <v>430232</v>
      </c>
      <c r="E21" s="737">
        <v>173108.52</v>
      </c>
      <c r="F21" s="1088">
        <f t="shared" si="0"/>
        <v>40.23608657654474</v>
      </c>
      <c r="G21" s="1109" t="s">
        <v>993</v>
      </c>
      <c r="H21" s="1108"/>
      <c r="J21" s="263" t="s">
        <v>1172</v>
      </c>
    </row>
    <row r="22" spans="1:8" ht="24" customHeight="1">
      <c r="A22" s="269" t="s">
        <v>951</v>
      </c>
      <c r="B22" s="265">
        <v>80104</v>
      </c>
      <c r="C22" s="1091" t="s">
        <v>1405</v>
      </c>
      <c r="D22" s="737">
        <v>457694</v>
      </c>
      <c r="E22" s="737">
        <v>162059.04</v>
      </c>
      <c r="F22" s="1088">
        <f>E22/D22*100</f>
        <v>35.4077265596665</v>
      </c>
      <c r="G22" s="1109" t="s">
        <v>993</v>
      </c>
      <c r="H22" s="1108"/>
    </row>
    <row r="23" spans="1:8" ht="24" customHeight="1">
      <c r="A23" s="269" t="s">
        <v>281</v>
      </c>
      <c r="B23" s="265">
        <v>80105</v>
      </c>
      <c r="C23" s="1091" t="s">
        <v>509</v>
      </c>
      <c r="D23" s="737">
        <f>9W!D307</f>
        <v>505814</v>
      </c>
      <c r="E23" s="737">
        <f>9W!E307</f>
        <v>141979.8</v>
      </c>
      <c r="F23" s="1088">
        <f t="shared" si="0"/>
        <v>28.069567074062796</v>
      </c>
      <c r="G23" s="1110" t="s">
        <v>993</v>
      </c>
      <c r="H23" s="776"/>
    </row>
    <row r="24" spans="1:8" ht="24" customHeight="1">
      <c r="A24" s="269" t="s">
        <v>282</v>
      </c>
      <c r="B24" s="265">
        <v>80106</v>
      </c>
      <c r="C24" s="1091" t="s">
        <v>61</v>
      </c>
      <c r="D24" s="737">
        <v>119001</v>
      </c>
      <c r="E24" s="737">
        <v>35358.12</v>
      </c>
      <c r="F24" s="1088">
        <f>E24/D24*100</f>
        <v>29.712456197847082</v>
      </c>
      <c r="G24" s="1110" t="s">
        <v>993</v>
      </c>
      <c r="H24" s="1108">
        <f>SUM(D24:D25)</f>
        <v>214202</v>
      </c>
    </row>
    <row r="25" spans="1:8" ht="24" customHeight="1">
      <c r="A25" s="269" t="s">
        <v>952</v>
      </c>
      <c r="B25" s="265">
        <v>80106</v>
      </c>
      <c r="C25" s="1091" t="s">
        <v>1335</v>
      </c>
      <c r="D25" s="737">
        <v>95201</v>
      </c>
      <c r="E25" s="737">
        <v>26518.59</v>
      </c>
      <c r="F25" s="1088">
        <f>E25/D25*100</f>
        <v>27.855369166290274</v>
      </c>
      <c r="G25" s="1110" t="s">
        <v>993</v>
      </c>
      <c r="H25" s="776"/>
    </row>
    <row r="26" spans="1:10" ht="31.5" customHeight="1">
      <c r="A26" s="269" t="s">
        <v>954</v>
      </c>
      <c r="B26" s="265">
        <v>80110</v>
      </c>
      <c r="C26" s="264" t="s">
        <v>1336</v>
      </c>
      <c r="D26" s="737">
        <v>193805</v>
      </c>
      <c r="E26" s="764">
        <v>70238</v>
      </c>
      <c r="F26" s="1088">
        <f t="shared" si="0"/>
        <v>36.24158303449344</v>
      </c>
      <c r="G26" s="1089" t="s">
        <v>993</v>
      </c>
      <c r="H26" s="1108">
        <f>SUM(D26:D30)</f>
        <v>608287</v>
      </c>
      <c r="J26" s="263" t="s">
        <v>1172</v>
      </c>
    </row>
    <row r="27" spans="1:10" ht="24.75" customHeight="1">
      <c r="A27" s="269" t="s">
        <v>283</v>
      </c>
      <c r="B27" s="265">
        <v>80110</v>
      </c>
      <c r="C27" s="1091" t="s">
        <v>503</v>
      </c>
      <c r="D27" s="737">
        <v>177194</v>
      </c>
      <c r="E27" s="764">
        <v>70644</v>
      </c>
      <c r="F27" s="1088">
        <f t="shared" si="0"/>
        <v>39.86816709369392</v>
      </c>
      <c r="G27" s="1089" t="s">
        <v>993</v>
      </c>
      <c r="H27" s="1111">
        <f>SUM(D26:D29)</f>
        <v>370999</v>
      </c>
      <c r="I27" s="1111">
        <f>SUM(E26:E29)</f>
        <v>140882</v>
      </c>
      <c r="J27" s="263" t="s">
        <v>1172</v>
      </c>
    </row>
    <row r="28" spans="1:7" ht="24.75" customHeight="1" hidden="1">
      <c r="A28" s="269" t="s">
        <v>283</v>
      </c>
      <c r="B28" s="265">
        <v>80110</v>
      </c>
      <c r="C28" s="1091" t="s">
        <v>904</v>
      </c>
      <c r="D28" s="737">
        <v>0</v>
      </c>
      <c r="E28" s="764">
        <v>0</v>
      </c>
      <c r="F28" s="1088" t="e">
        <f t="shared" si="0"/>
        <v>#DIV/0!</v>
      </c>
      <c r="G28" s="1089" t="s">
        <v>993</v>
      </c>
    </row>
    <row r="29" spans="1:7" ht="28.5" customHeight="1" hidden="1">
      <c r="A29" s="269" t="s">
        <v>283</v>
      </c>
      <c r="B29" s="265">
        <v>80110</v>
      </c>
      <c r="C29" s="264" t="s">
        <v>1167</v>
      </c>
      <c r="D29" s="737">
        <v>0</v>
      </c>
      <c r="E29" s="764">
        <v>0</v>
      </c>
      <c r="F29" s="1088" t="e">
        <f t="shared" si="0"/>
        <v>#DIV/0!</v>
      </c>
      <c r="G29" s="1089" t="s">
        <v>974</v>
      </c>
    </row>
    <row r="30" spans="1:10" ht="32.25" customHeight="1">
      <c r="A30" s="269" t="s">
        <v>955</v>
      </c>
      <c r="B30" s="265">
        <v>80110</v>
      </c>
      <c r="C30" s="264" t="s">
        <v>536</v>
      </c>
      <c r="D30" s="1092">
        <v>237288</v>
      </c>
      <c r="E30" s="1093">
        <v>108488.19</v>
      </c>
      <c r="F30" s="1088">
        <f t="shared" si="0"/>
        <v>45.72004905431374</v>
      </c>
      <c r="G30" s="1089" t="s">
        <v>974</v>
      </c>
      <c r="H30" s="1112"/>
      <c r="I30" s="1111"/>
      <c r="J30" s="263" t="s">
        <v>1172</v>
      </c>
    </row>
    <row r="31" spans="1:7" ht="39.75" customHeight="1" hidden="1">
      <c r="A31" s="269" t="s">
        <v>956</v>
      </c>
      <c r="B31" s="1094">
        <v>85153</v>
      </c>
      <c r="C31" s="824" t="s">
        <v>796</v>
      </c>
      <c r="D31" s="737">
        <v>0</v>
      </c>
      <c r="E31" s="737">
        <v>0</v>
      </c>
      <c r="F31" s="1095" t="e">
        <f>E31/D31*100</f>
        <v>#DIV/0!</v>
      </c>
      <c r="G31" s="1089" t="s">
        <v>995</v>
      </c>
    </row>
    <row r="32" spans="1:7" ht="27.75" customHeight="1" hidden="1">
      <c r="A32" s="269" t="s">
        <v>284</v>
      </c>
      <c r="B32" s="1094">
        <v>85154</v>
      </c>
      <c r="C32" s="824" t="s">
        <v>543</v>
      </c>
      <c r="D32" s="1092">
        <v>0</v>
      </c>
      <c r="E32" s="1092">
        <v>0</v>
      </c>
      <c r="F32" s="1088" t="e">
        <f>E32/D32*100</f>
        <v>#DIV/0!</v>
      </c>
      <c r="G32" s="1089" t="s">
        <v>995</v>
      </c>
    </row>
    <row r="33" spans="1:7" ht="27.75" customHeight="1">
      <c r="A33" s="269" t="s">
        <v>956</v>
      </c>
      <c r="B33" s="265">
        <v>92109</v>
      </c>
      <c r="C33" s="1091" t="s">
        <v>124</v>
      </c>
      <c r="D33" s="737">
        <f>9W!D639</f>
        <v>2225955</v>
      </c>
      <c r="E33" s="737">
        <f>9W!E639</f>
        <v>1210955</v>
      </c>
      <c r="F33" s="1088">
        <f t="shared" si="0"/>
        <v>54.40159392260849</v>
      </c>
      <c r="G33" s="1089" t="s">
        <v>994</v>
      </c>
    </row>
    <row r="34" spans="1:7" ht="27" customHeight="1">
      <c r="A34" s="269" t="s">
        <v>284</v>
      </c>
      <c r="B34" s="265">
        <v>92116</v>
      </c>
      <c r="C34" s="1091" t="s">
        <v>194</v>
      </c>
      <c r="D34" s="737">
        <f>9W!D645</f>
        <v>1583700</v>
      </c>
      <c r="E34" s="737">
        <f>9W!E645</f>
        <v>870000</v>
      </c>
      <c r="F34" s="1088">
        <f t="shared" si="0"/>
        <v>54.93464671339269</v>
      </c>
      <c r="G34" s="1089" t="s">
        <v>994</v>
      </c>
    </row>
    <row r="35" spans="1:7" ht="24.75" customHeight="1">
      <c r="A35" s="269" t="s">
        <v>957</v>
      </c>
      <c r="B35" s="265">
        <v>92118</v>
      </c>
      <c r="C35" s="1091" t="s">
        <v>195</v>
      </c>
      <c r="D35" s="737">
        <f>9W!D650</f>
        <v>614670</v>
      </c>
      <c r="E35" s="737">
        <f>9W!E650</f>
        <v>380000</v>
      </c>
      <c r="F35" s="1088">
        <f t="shared" si="0"/>
        <v>61.821790554281165</v>
      </c>
      <c r="G35" s="1089" t="s">
        <v>994</v>
      </c>
    </row>
    <row r="36" spans="1:7" ht="24.75" customHeight="1">
      <c r="A36" s="269" t="s">
        <v>958</v>
      </c>
      <c r="B36" s="265">
        <v>92195</v>
      </c>
      <c r="C36" s="1091" t="s">
        <v>1515</v>
      </c>
      <c r="D36" s="737">
        <v>80000</v>
      </c>
      <c r="E36" s="737">
        <v>0</v>
      </c>
      <c r="F36" s="1088">
        <f>E36/D36*100</f>
        <v>0</v>
      </c>
      <c r="G36" s="1089" t="s">
        <v>994</v>
      </c>
    </row>
    <row r="37" spans="1:6" ht="18" customHeight="1">
      <c r="A37" s="1494" t="s">
        <v>498</v>
      </c>
      <c r="B37" s="1495"/>
      <c r="C37" s="1496"/>
      <c r="D37" s="1116">
        <f>SUM(D38:D57)</f>
        <v>2586620</v>
      </c>
      <c r="E37" s="1116">
        <f>SUM(E38:E57)</f>
        <v>1099522.38</v>
      </c>
      <c r="F37" s="1117">
        <f t="shared" si="0"/>
        <v>42.508075403422225</v>
      </c>
    </row>
    <row r="38" spans="1:12" ht="35.25" customHeight="1">
      <c r="A38" s="269" t="s">
        <v>959</v>
      </c>
      <c r="B38" s="265">
        <v>80120</v>
      </c>
      <c r="C38" s="264" t="s">
        <v>348</v>
      </c>
      <c r="D38" s="737">
        <v>200692</v>
      </c>
      <c r="E38" s="764">
        <v>85411.76</v>
      </c>
      <c r="F38" s="1088">
        <f t="shared" si="0"/>
        <v>42.55862715006079</v>
      </c>
      <c r="G38" s="1089" t="s">
        <v>993</v>
      </c>
      <c r="H38" s="1075">
        <f>SUM(D38:D46)</f>
        <v>868590</v>
      </c>
      <c r="J38" s="1129" t="s">
        <v>1172</v>
      </c>
      <c r="L38" s="263">
        <f>SUM(E38:E52,E56:E57)</f>
        <v>1084711.27</v>
      </c>
    </row>
    <row r="39" spans="1:10" ht="23.25" customHeight="1">
      <c r="A39" s="269" t="s">
        <v>960</v>
      </c>
      <c r="B39" s="265">
        <v>80120</v>
      </c>
      <c r="C39" s="1091" t="s">
        <v>349</v>
      </c>
      <c r="D39" s="737">
        <v>319100</v>
      </c>
      <c r="E39" s="764">
        <v>154436.38</v>
      </c>
      <c r="F39" s="1088">
        <f t="shared" si="0"/>
        <v>48.397486681291134</v>
      </c>
      <c r="G39" s="1089" t="s">
        <v>993</v>
      </c>
      <c r="H39" s="1111"/>
      <c r="I39" s="1111">
        <f>SUM(E38:E48)</f>
        <v>354596.06000000006</v>
      </c>
      <c r="J39" s="263" t="s">
        <v>1172</v>
      </c>
    </row>
    <row r="40" spans="1:10" ht="30" customHeight="1">
      <c r="A40" s="269" t="s">
        <v>966</v>
      </c>
      <c r="B40" s="1094">
        <v>80120</v>
      </c>
      <c r="C40" s="824" t="s">
        <v>905</v>
      </c>
      <c r="D40" s="1092">
        <v>210726</v>
      </c>
      <c r="E40" s="1093">
        <v>57106.7</v>
      </c>
      <c r="F40" s="1095">
        <f t="shared" si="0"/>
        <v>27.099978170705086</v>
      </c>
      <c r="G40" s="1089" t="s">
        <v>993</v>
      </c>
      <c r="J40" s="263" t="s">
        <v>1172</v>
      </c>
    </row>
    <row r="41" spans="1:10" ht="37.5" customHeight="1" hidden="1">
      <c r="A41" s="269" t="s">
        <v>960</v>
      </c>
      <c r="B41" s="1094">
        <v>80120</v>
      </c>
      <c r="C41" s="824" t="s">
        <v>1100</v>
      </c>
      <c r="D41" s="1092"/>
      <c r="E41" s="1093"/>
      <c r="F41" s="1095" t="e">
        <f t="shared" si="0"/>
        <v>#DIV/0!</v>
      </c>
      <c r="G41" s="1089" t="s">
        <v>993</v>
      </c>
      <c r="J41" s="263" t="s">
        <v>1172</v>
      </c>
    </row>
    <row r="42" spans="1:10" ht="44.25" customHeight="1" hidden="1">
      <c r="A42" s="269" t="s">
        <v>959</v>
      </c>
      <c r="B42" s="265">
        <v>80120</v>
      </c>
      <c r="C42" s="264" t="s">
        <v>1168</v>
      </c>
      <c r="D42" s="737">
        <v>0</v>
      </c>
      <c r="E42" s="764">
        <v>0</v>
      </c>
      <c r="F42" s="1088" t="e">
        <f t="shared" si="0"/>
        <v>#DIV/0!</v>
      </c>
      <c r="G42" s="1089" t="s">
        <v>993</v>
      </c>
      <c r="J42" s="263" t="s">
        <v>1172</v>
      </c>
    </row>
    <row r="43" spans="1:7" ht="36.75" customHeight="1" hidden="1">
      <c r="A43" s="269" t="s">
        <v>967</v>
      </c>
      <c r="B43" s="265">
        <v>80120</v>
      </c>
      <c r="C43" s="264" t="s">
        <v>906</v>
      </c>
      <c r="D43" s="737"/>
      <c r="E43" s="764">
        <v>0</v>
      </c>
      <c r="F43" s="1088" t="e">
        <f t="shared" si="0"/>
        <v>#DIV/0!</v>
      </c>
      <c r="G43" s="1089" t="s">
        <v>993</v>
      </c>
    </row>
    <row r="44" spans="1:7" ht="39.75" customHeight="1" hidden="1">
      <c r="A44" s="269" t="s">
        <v>968</v>
      </c>
      <c r="B44" s="265">
        <v>80120</v>
      </c>
      <c r="C44" s="264" t="s">
        <v>1169</v>
      </c>
      <c r="D44" s="737"/>
      <c r="E44" s="764"/>
      <c r="F44" s="1088" t="e">
        <f t="shared" si="0"/>
        <v>#DIV/0!</v>
      </c>
      <c r="G44" s="1089" t="s">
        <v>757</v>
      </c>
    </row>
    <row r="45" spans="1:10" ht="25.5" customHeight="1" hidden="1">
      <c r="A45" s="269" t="s">
        <v>960</v>
      </c>
      <c r="B45" s="265">
        <v>80120</v>
      </c>
      <c r="C45" s="264" t="s">
        <v>1170</v>
      </c>
      <c r="D45" s="737">
        <v>0</v>
      </c>
      <c r="E45" s="764">
        <v>0</v>
      </c>
      <c r="F45" s="1088" t="e">
        <f t="shared" si="0"/>
        <v>#DIV/0!</v>
      </c>
      <c r="G45" s="1089" t="s">
        <v>993</v>
      </c>
      <c r="J45" s="263" t="s">
        <v>1172</v>
      </c>
    </row>
    <row r="46" spans="1:10" ht="28.5" customHeight="1">
      <c r="A46" s="269" t="s">
        <v>967</v>
      </c>
      <c r="B46" s="265">
        <v>80120</v>
      </c>
      <c r="C46" s="264" t="s">
        <v>1284</v>
      </c>
      <c r="D46" s="737">
        <v>138072</v>
      </c>
      <c r="E46" s="764">
        <v>57641.22</v>
      </c>
      <c r="F46" s="1088">
        <f t="shared" si="0"/>
        <v>41.74721884234312</v>
      </c>
      <c r="G46" s="1089" t="s">
        <v>993</v>
      </c>
      <c r="J46" s="263" t="s">
        <v>1172</v>
      </c>
    </row>
    <row r="47" spans="1:7" ht="39.75" customHeight="1" hidden="1">
      <c r="A47" s="269" t="s">
        <v>789</v>
      </c>
      <c r="B47" s="265">
        <v>80120</v>
      </c>
      <c r="C47" s="264" t="s">
        <v>130</v>
      </c>
      <c r="D47" s="734"/>
      <c r="E47" s="1096"/>
      <c r="F47" s="1097" t="e">
        <f t="shared" si="0"/>
        <v>#DIV/0!</v>
      </c>
      <c r="G47" s="3" t="s">
        <v>973</v>
      </c>
    </row>
    <row r="48" spans="1:7" ht="45" customHeight="1" hidden="1">
      <c r="A48" s="269" t="s">
        <v>788</v>
      </c>
      <c r="B48" s="265">
        <v>80120</v>
      </c>
      <c r="C48" s="264" t="s">
        <v>510</v>
      </c>
      <c r="D48" s="734"/>
      <c r="E48" s="1096">
        <v>0</v>
      </c>
      <c r="F48" s="1097" t="e">
        <f t="shared" si="0"/>
        <v>#DIV/0!</v>
      </c>
      <c r="G48" s="3" t="s">
        <v>993</v>
      </c>
    </row>
    <row r="49" spans="1:10" ht="23.25" customHeight="1" hidden="1">
      <c r="A49" s="269" t="s">
        <v>967</v>
      </c>
      <c r="B49" s="265">
        <v>80130</v>
      </c>
      <c r="C49" s="264" t="s">
        <v>308</v>
      </c>
      <c r="D49" s="737">
        <v>0</v>
      </c>
      <c r="E49" s="764">
        <v>0</v>
      </c>
      <c r="F49" s="1088" t="e">
        <f>E49/D49*100</f>
        <v>#DIV/0!</v>
      </c>
      <c r="G49" s="1089" t="s">
        <v>993</v>
      </c>
      <c r="H49" s="1075">
        <f>SUM(D49:D52)</f>
        <v>570937</v>
      </c>
      <c r="I49" s="1075">
        <f>SUM(E49:E52)</f>
        <v>243189.37</v>
      </c>
      <c r="J49" s="263" t="s">
        <v>1172</v>
      </c>
    </row>
    <row r="50" spans="1:8" ht="27" customHeight="1" hidden="1">
      <c r="A50" s="269" t="s">
        <v>968</v>
      </c>
      <c r="B50" s="265">
        <v>80130</v>
      </c>
      <c r="C50" s="264" t="s">
        <v>1219</v>
      </c>
      <c r="D50" s="737">
        <v>0</v>
      </c>
      <c r="E50" s="764">
        <v>0</v>
      </c>
      <c r="F50" s="1088" t="e">
        <f>E50/D50*100</f>
        <v>#DIV/0!</v>
      </c>
      <c r="G50" s="1089" t="s">
        <v>993</v>
      </c>
      <c r="H50" s="1075"/>
    </row>
    <row r="51" spans="1:10" ht="42" customHeight="1">
      <c r="A51" s="269" t="s">
        <v>968</v>
      </c>
      <c r="B51" s="265">
        <v>80130</v>
      </c>
      <c r="C51" s="264" t="s">
        <v>1338</v>
      </c>
      <c r="D51" s="737">
        <v>312330</v>
      </c>
      <c r="E51" s="764">
        <v>133827.89</v>
      </c>
      <c r="F51" s="1088">
        <f t="shared" si="0"/>
        <v>42.848234239426255</v>
      </c>
      <c r="G51" s="1089" t="s">
        <v>974</v>
      </c>
      <c r="H51" s="1111">
        <f>SUM(D51:D52)</f>
        <v>570937</v>
      </c>
      <c r="I51" s="1111"/>
      <c r="J51" s="263" t="s">
        <v>1172</v>
      </c>
    </row>
    <row r="52" spans="1:9" ht="42" customHeight="1">
      <c r="A52" s="269" t="s">
        <v>969</v>
      </c>
      <c r="B52" s="265">
        <v>80130</v>
      </c>
      <c r="C52" s="824" t="s">
        <v>1337</v>
      </c>
      <c r="D52" s="1092">
        <v>258607</v>
      </c>
      <c r="E52" s="1093">
        <v>109361.48</v>
      </c>
      <c r="F52" s="1095">
        <f t="shared" si="0"/>
        <v>42.28867741399111</v>
      </c>
      <c r="G52" s="1089" t="s">
        <v>974</v>
      </c>
      <c r="H52" s="1111"/>
      <c r="I52" s="1111"/>
    </row>
    <row r="53" spans="1:7" ht="34.5" customHeight="1" hidden="1">
      <c r="A53" s="269" t="s">
        <v>789</v>
      </c>
      <c r="B53" s="1094">
        <v>85111</v>
      </c>
      <c r="C53" s="824" t="s">
        <v>796</v>
      </c>
      <c r="D53" s="1092">
        <f>9W!D879</f>
        <v>0</v>
      </c>
      <c r="E53" s="1092">
        <f>9W!E879</f>
        <v>0</v>
      </c>
      <c r="F53" s="1095" t="e">
        <f>E53/D53*100</f>
        <v>#DIV/0!</v>
      </c>
      <c r="G53" s="1089" t="s">
        <v>995</v>
      </c>
    </row>
    <row r="54" spans="1:7" ht="37.5" customHeight="1" hidden="1">
      <c r="A54" s="269" t="s">
        <v>969</v>
      </c>
      <c r="B54" s="265">
        <v>85117</v>
      </c>
      <c r="C54" s="264" t="s">
        <v>620</v>
      </c>
      <c r="D54" s="737">
        <f>9W!D888</f>
        <v>0</v>
      </c>
      <c r="E54" s="737">
        <f>9W!E888</f>
        <v>0</v>
      </c>
      <c r="F54" s="1088" t="e">
        <f>E54/D54*100</f>
        <v>#DIV/0!</v>
      </c>
      <c r="G54" s="1089" t="s">
        <v>995</v>
      </c>
    </row>
    <row r="55" spans="1:7" ht="23.25" customHeight="1">
      <c r="A55" s="269" t="s">
        <v>788</v>
      </c>
      <c r="B55" s="1118">
        <v>85311</v>
      </c>
      <c r="C55" s="1119" t="s">
        <v>991</v>
      </c>
      <c r="D55" s="1092">
        <f>SUM(9W!D953)</f>
        <v>44434</v>
      </c>
      <c r="E55" s="1092">
        <f>SUM(9W!E953)</f>
        <v>14811.11</v>
      </c>
      <c r="F55" s="1095">
        <f>E55/D55*100</f>
        <v>33.33283071521807</v>
      </c>
      <c r="G55" s="1089" t="s">
        <v>973</v>
      </c>
    </row>
    <row r="56" spans="1:7" ht="45" customHeight="1">
      <c r="A56" s="269" t="s">
        <v>789</v>
      </c>
      <c r="B56" s="1098">
        <v>85404</v>
      </c>
      <c r="C56" s="264" t="s">
        <v>1139</v>
      </c>
      <c r="D56" s="1099">
        <f>9W!D1000</f>
        <v>81280</v>
      </c>
      <c r="E56" s="1099">
        <v>32029.84</v>
      </c>
      <c r="F56" s="1095">
        <f>E56/D56*100</f>
        <v>39.40679133858268</v>
      </c>
      <c r="G56" s="1089" t="s">
        <v>993</v>
      </c>
    </row>
    <row r="57" spans="1:7" ht="45" customHeight="1" thickBot="1">
      <c r="A57" s="794" t="s">
        <v>790</v>
      </c>
      <c r="B57" s="1100">
        <v>85419</v>
      </c>
      <c r="C57" s="1101" t="s">
        <v>1139</v>
      </c>
      <c r="D57" s="1102">
        <f>SUM(9W!D1025)</f>
        <v>1021379</v>
      </c>
      <c r="E57" s="1102">
        <f>SUM(9W!E1025)</f>
        <v>454896</v>
      </c>
      <c r="F57" s="1103">
        <f t="shared" si="0"/>
        <v>44.5374341943588</v>
      </c>
      <c r="G57" s="1089" t="s">
        <v>993</v>
      </c>
    </row>
    <row r="58" spans="1:6" ht="18.75" customHeight="1" thickBot="1" thickTop="1">
      <c r="A58" s="1488" t="s">
        <v>499</v>
      </c>
      <c r="B58" s="1489"/>
      <c r="C58" s="1490"/>
      <c r="D58" s="845">
        <f>SUM(D16,D37)</f>
        <v>10718185</v>
      </c>
      <c r="E58" s="845">
        <f>SUM(E16,E37)</f>
        <v>4950571.470000001</v>
      </c>
      <c r="F58" s="1090">
        <f t="shared" si="0"/>
        <v>46.18852417643473</v>
      </c>
    </row>
    <row r="59" ht="42.75" customHeight="1"/>
    <row r="60" spans="1:6" ht="68.25" customHeight="1" thickBot="1">
      <c r="A60" s="1499" t="s">
        <v>1592</v>
      </c>
      <c r="B60" s="1499"/>
      <c r="C60" s="1499"/>
      <c r="D60" s="1499"/>
      <c r="E60" s="1499"/>
      <c r="F60" s="1499"/>
    </row>
    <row r="61" spans="1:10" s="493" customFormat="1" ht="20.25" customHeight="1">
      <c r="A61" s="250" t="s">
        <v>823</v>
      </c>
      <c r="B61" s="6" t="s">
        <v>170</v>
      </c>
      <c r="C61" s="774" t="s">
        <v>123</v>
      </c>
      <c r="D61" s="251" t="s">
        <v>172</v>
      </c>
      <c r="E61" s="1385" t="s">
        <v>173</v>
      </c>
      <c r="F61" s="252" t="s">
        <v>559</v>
      </c>
      <c r="G61" s="486"/>
      <c r="H61" s="719"/>
      <c r="I61" s="1105"/>
      <c r="J61" s="1077"/>
    </row>
    <row r="62" spans="1:10" s="592" customFormat="1" ht="9.75" customHeight="1">
      <c r="A62" s="1078">
        <v>1</v>
      </c>
      <c r="B62" s="1079">
        <v>2</v>
      </c>
      <c r="C62" s="1079">
        <v>3</v>
      </c>
      <c r="D62" s="1079">
        <v>4</v>
      </c>
      <c r="E62" s="1080">
        <v>5</v>
      </c>
      <c r="F62" s="1081">
        <v>6</v>
      </c>
      <c r="G62" s="255"/>
      <c r="H62" s="1082"/>
      <c r="I62" s="1083"/>
      <c r="J62" s="1106"/>
    </row>
    <row r="63" spans="1:6" ht="15.75" customHeight="1">
      <c r="A63" s="1491" t="s">
        <v>497</v>
      </c>
      <c r="B63" s="1492"/>
      <c r="C63" s="1493"/>
      <c r="D63" s="787">
        <f>SUM(D64:D82)</f>
        <v>5556826</v>
      </c>
      <c r="E63" s="787">
        <f>SUM(E64:E82)</f>
        <v>3007553.3200000003</v>
      </c>
      <c r="F63" s="1086">
        <f>E63/D63*100</f>
        <v>54.123582779090086</v>
      </c>
    </row>
    <row r="64" spans="1:7" ht="24" customHeight="1">
      <c r="A64" s="269" t="s">
        <v>826</v>
      </c>
      <c r="B64" s="265">
        <v>75095</v>
      </c>
      <c r="C64" s="1091" t="s">
        <v>677</v>
      </c>
      <c r="D64" s="733">
        <f>9W!D164</f>
        <v>20000</v>
      </c>
      <c r="E64" s="733">
        <f>9W!E164</f>
        <v>0</v>
      </c>
      <c r="F64" s="1097">
        <f aca="true" t="shared" si="1" ref="F64:F88">E64/D64*100</f>
        <v>0</v>
      </c>
      <c r="G64" s="3" t="s">
        <v>1166</v>
      </c>
    </row>
    <row r="65" spans="1:7" ht="24" customHeight="1" hidden="1">
      <c r="A65" s="269" t="s">
        <v>826</v>
      </c>
      <c r="B65" s="265">
        <v>75415</v>
      </c>
      <c r="C65" s="1091" t="s">
        <v>752</v>
      </c>
      <c r="D65" s="737">
        <f>SUM(9W!D227)</f>
        <v>0</v>
      </c>
      <c r="E65" s="737">
        <f>SUM(9W!E227)</f>
        <v>0</v>
      </c>
      <c r="F65" s="1088" t="e">
        <f t="shared" si="1"/>
        <v>#DIV/0!</v>
      </c>
      <c r="G65" s="1089" t="s">
        <v>1166</v>
      </c>
    </row>
    <row r="66" spans="1:7" ht="24" customHeight="1" hidden="1">
      <c r="A66" s="269" t="s">
        <v>942</v>
      </c>
      <c r="B66" s="265">
        <v>80113</v>
      </c>
      <c r="C66" s="1091" t="s">
        <v>814</v>
      </c>
      <c r="D66" s="737"/>
      <c r="E66" s="737"/>
      <c r="F66" s="1088" t="e">
        <f t="shared" si="1"/>
        <v>#DIV/0!</v>
      </c>
      <c r="G66" s="1089" t="s">
        <v>970</v>
      </c>
    </row>
    <row r="67" spans="1:7" ht="24" customHeight="1">
      <c r="A67" s="269" t="s">
        <v>827</v>
      </c>
      <c r="B67" s="265">
        <v>80195</v>
      </c>
      <c r="C67" s="1091" t="s">
        <v>126</v>
      </c>
      <c r="D67" s="737">
        <f>9W!D353</f>
        <v>50000</v>
      </c>
      <c r="E67" s="737">
        <f>9W!E353</f>
        <v>0</v>
      </c>
      <c r="F67" s="1088">
        <f t="shared" si="1"/>
        <v>0</v>
      </c>
      <c r="G67" s="1089" t="s">
        <v>1166</v>
      </c>
    </row>
    <row r="68" spans="1:7" ht="24" customHeight="1">
      <c r="A68" s="269" t="s">
        <v>942</v>
      </c>
      <c r="B68" s="265">
        <v>85149</v>
      </c>
      <c r="C68" s="1091" t="s">
        <v>1095</v>
      </c>
      <c r="D68" s="737">
        <f>SUM(9W!D361)</f>
        <v>108000</v>
      </c>
      <c r="E68" s="737">
        <f>SUM(9W!E361)</f>
        <v>106590.37</v>
      </c>
      <c r="F68" s="1088">
        <f t="shared" si="1"/>
        <v>98.69478703703703</v>
      </c>
      <c r="G68" s="1089" t="s">
        <v>1166</v>
      </c>
    </row>
    <row r="69" spans="1:7" ht="35.25" customHeight="1">
      <c r="A69" s="269" t="s">
        <v>949</v>
      </c>
      <c r="B69" s="265">
        <v>85152</v>
      </c>
      <c r="C69" s="264" t="s">
        <v>508</v>
      </c>
      <c r="D69" s="737">
        <f>SUM(9W!D369)</f>
        <v>10000</v>
      </c>
      <c r="E69" s="737">
        <f>SUM(9W!E369)</f>
        <v>0</v>
      </c>
      <c r="F69" s="1088">
        <f t="shared" si="1"/>
        <v>0</v>
      </c>
      <c r="G69" s="1089" t="s">
        <v>1166</v>
      </c>
    </row>
    <row r="70" spans="1:7" ht="40.5" customHeight="1">
      <c r="A70" s="269" t="s">
        <v>950</v>
      </c>
      <c r="B70" s="1094">
        <v>85153</v>
      </c>
      <c r="C70" s="824" t="s">
        <v>546</v>
      </c>
      <c r="D70" s="737">
        <f>SUM(9W!D375)</f>
        <v>24052</v>
      </c>
      <c r="E70" s="737">
        <f>SUM(9W!E375)</f>
        <v>5286</v>
      </c>
      <c r="F70" s="1095">
        <f t="shared" si="1"/>
        <v>21.977382338267088</v>
      </c>
      <c r="G70" s="1089" t="s">
        <v>755</v>
      </c>
    </row>
    <row r="71" spans="1:7" ht="66.75" customHeight="1" hidden="1">
      <c r="A71" s="269" t="s">
        <v>951</v>
      </c>
      <c r="B71" s="1094">
        <v>85153</v>
      </c>
      <c r="C71" s="824" t="s">
        <v>1220</v>
      </c>
      <c r="D71" s="1092"/>
      <c r="E71" s="1092"/>
      <c r="F71" s="1088" t="e">
        <f t="shared" si="1"/>
        <v>#DIV/0!</v>
      </c>
      <c r="G71" s="1089" t="s">
        <v>1166</v>
      </c>
    </row>
    <row r="72" spans="1:7" ht="29.25" customHeight="1">
      <c r="A72" s="269" t="s">
        <v>951</v>
      </c>
      <c r="B72" s="265">
        <v>85154</v>
      </c>
      <c r="C72" s="264" t="s">
        <v>547</v>
      </c>
      <c r="D72" s="737">
        <f>9W!D381</f>
        <v>782400</v>
      </c>
      <c r="E72" s="737">
        <f>9W!E381</f>
        <v>346575</v>
      </c>
      <c r="F72" s="1088">
        <f t="shared" si="1"/>
        <v>44.296395705521476</v>
      </c>
      <c r="G72" s="1089" t="s">
        <v>1221</v>
      </c>
    </row>
    <row r="73" spans="1:7" ht="29.25" customHeight="1" hidden="1">
      <c r="A73" s="269"/>
      <c r="B73" s="1094"/>
      <c r="C73" s="824"/>
      <c r="D73" s="1092"/>
      <c r="E73" s="1092"/>
      <c r="F73" s="1095"/>
      <c r="G73" s="1089"/>
    </row>
    <row r="74" spans="1:7" ht="28.5" customHeight="1">
      <c r="A74" s="269" t="s">
        <v>281</v>
      </c>
      <c r="B74" s="1094">
        <v>85195</v>
      </c>
      <c r="C74" s="824" t="s">
        <v>548</v>
      </c>
      <c r="D74" s="1092">
        <f>9W!D393</f>
        <v>18000</v>
      </c>
      <c r="E74" s="1092">
        <f>9W!E393</f>
        <v>9000</v>
      </c>
      <c r="F74" s="1095">
        <f t="shared" si="1"/>
        <v>50</v>
      </c>
      <c r="G74" s="1089" t="s">
        <v>1166</v>
      </c>
    </row>
    <row r="75" spans="1:7" ht="24" customHeight="1">
      <c r="A75" s="269" t="s">
        <v>282</v>
      </c>
      <c r="B75" s="792">
        <v>85203</v>
      </c>
      <c r="C75" s="1126" t="s">
        <v>880</v>
      </c>
      <c r="D75" s="737">
        <f>SUM(9W!D411)</f>
        <v>289104</v>
      </c>
      <c r="E75" s="737">
        <f>SUM(9W!E411)</f>
        <v>134408</v>
      </c>
      <c r="F75" s="1088">
        <f t="shared" si="1"/>
        <v>46.49122807017544</v>
      </c>
      <c r="G75" s="1089" t="s">
        <v>1166</v>
      </c>
    </row>
    <row r="76" spans="1:7" ht="24" customHeight="1" hidden="1">
      <c r="A76" s="269" t="s">
        <v>952</v>
      </c>
      <c r="B76" s="1118">
        <v>85305</v>
      </c>
      <c r="C76" s="1119" t="s">
        <v>754</v>
      </c>
      <c r="D76" s="1092">
        <f>9W!D498</f>
        <v>0</v>
      </c>
      <c r="E76" s="1092">
        <f>9W!E498</f>
        <v>0</v>
      </c>
      <c r="F76" s="1088" t="e">
        <f t="shared" si="1"/>
        <v>#DIV/0!</v>
      </c>
      <c r="G76" s="1089" t="s">
        <v>755</v>
      </c>
    </row>
    <row r="77" spans="1:7" ht="21.75" customHeight="1">
      <c r="A77" s="269" t="s">
        <v>952</v>
      </c>
      <c r="B77" s="1094">
        <v>85395</v>
      </c>
      <c r="C77" s="823" t="s">
        <v>504</v>
      </c>
      <c r="D77" s="1092">
        <v>1145600</v>
      </c>
      <c r="E77" s="1092">
        <v>537403</v>
      </c>
      <c r="F77" s="1095">
        <f t="shared" si="1"/>
        <v>46.9101780726257</v>
      </c>
      <c r="G77" s="1089" t="s">
        <v>1166</v>
      </c>
    </row>
    <row r="78" spans="1:7" ht="21.75" customHeight="1">
      <c r="A78" s="269" t="s">
        <v>954</v>
      </c>
      <c r="B78" s="1094">
        <v>85505</v>
      </c>
      <c r="C78" s="823" t="s">
        <v>1439</v>
      </c>
      <c r="D78" s="737">
        <f>SUM(9W!D576)</f>
        <v>299520</v>
      </c>
      <c r="E78" s="737">
        <f>SUM(9W!E576)</f>
        <v>149760</v>
      </c>
      <c r="F78" s="1095">
        <f t="shared" si="1"/>
        <v>50</v>
      </c>
      <c r="G78" s="1089" t="s">
        <v>755</v>
      </c>
    </row>
    <row r="79" spans="1:7" ht="22.5" customHeight="1">
      <c r="A79" s="269" t="s">
        <v>283</v>
      </c>
      <c r="B79" s="1094">
        <v>90013</v>
      </c>
      <c r="C79" s="823" t="s">
        <v>1122</v>
      </c>
      <c r="D79" s="1092">
        <f>SUM(9W!D607)</f>
        <v>300000</v>
      </c>
      <c r="E79" s="1092">
        <f>SUM(9W!E607)</f>
        <v>150000</v>
      </c>
      <c r="F79" s="1095">
        <f t="shared" si="1"/>
        <v>50</v>
      </c>
      <c r="G79" s="1089" t="s">
        <v>1166</v>
      </c>
    </row>
    <row r="80" spans="1:7" ht="24" customHeight="1">
      <c r="A80" s="269" t="s">
        <v>955</v>
      </c>
      <c r="B80" s="1094">
        <v>90095</v>
      </c>
      <c r="C80" s="824" t="s">
        <v>619</v>
      </c>
      <c r="D80" s="1092">
        <f>SUM(9W!D629)</f>
        <v>12500</v>
      </c>
      <c r="E80" s="1092">
        <f>SUM(9W!E629)</f>
        <v>10000</v>
      </c>
      <c r="F80" s="1095">
        <f t="shared" si="1"/>
        <v>80</v>
      </c>
      <c r="G80" s="1089" t="s">
        <v>1166</v>
      </c>
    </row>
    <row r="81" spans="1:9" ht="30" customHeight="1">
      <c r="A81" s="269" t="s">
        <v>956</v>
      </c>
      <c r="B81" s="265">
        <v>92195</v>
      </c>
      <c r="C81" s="264" t="s">
        <v>1089</v>
      </c>
      <c r="D81" s="737">
        <v>1586150</v>
      </c>
      <c r="E81" s="737">
        <v>954546.37</v>
      </c>
      <c r="F81" s="1088">
        <f t="shared" si="1"/>
        <v>60.18008195946158</v>
      </c>
      <c r="G81" s="1110" t="s">
        <v>756</v>
      </c>
      <c r="I81" s="1075" t="s">
        <v>1514</v>
      </c>
    </row>
    <row r="82" spans="1:7" ht="24" customHeight="1">
      <c r="A82" s="269" t="s">
        <v>284</v>
      </c>
      <c r="B82" s="265">
        <v>92605</v>
      </c>
      <c r="C82" s="1091" t="s">
        <v>107</v>
      </c>
      <c r="D82" s="737">
        <f>9W!D679-D10</f>
        <v>911500</v>
      </c>
      <c r="E82" s="737">
        <f>9W!E679-E10</f>
        <v>603984.5800000001</v>
      </c>
      <c r="F82" s="1088">
        <f t="shared" si="1"/>
        <v>66.2627076247943</v>
      </c>
      <c r="G82" s="1089" t="s">
        <v>1166</v>
      </c>
    </row>
    <row r="83" spans="1:6" ht="17.25" customHeight="1">
      <c r="A83" s="1491" t="s">
        <v>498</v>
      </c>
      <c r="B83" s="1492"/>
      <c r="C83" s="1493"/>
      <c r="D83" s="787">
        <f>SUM(D84:D87)</f>
        <v>291726</v>
      </c>
      <c r="E83" s="787">
        <f>SUM(E84:E87)</f>
        <v>261362.94</v>
      </c>
      <c r="F83" s="1086">
        <f t="shared" si="1"/>
        <v>89.5919252997676</v>
      </c>
    </row>
    <row r="84" spans="1:7" ht="27.75" customHeight="1">
      <c r="A84" s="269" t="s">
        <v>957</v>
      </c>
      <c r="B84" s="265">
        <v>75515</v>
      </c>
      <c r="C84" s="264" t="s">
        <v>1520</v>
      </c>
      <c r="D84" s="733">
        <f>9W!D809</f>
        <v>60726</v>
      </c>
      <c r="E84" s="733">
        <f>9W!E809</f>
        <v>30362.94</v>
      </c>
      <c r="F84" s="1097">
        <f>E84/D84*100</f>
        <v>49.999901195534036</v>
      </c>
      <c r="G84" s="1089" t="s">
        <v>1166</v>
      </c>
    </row>
    <row r="85" spans="1:7" ht="30.75" customHeight="1" hidden="1">
      <c r="A85" s="269" t="s">
        <v>958</v>
      </c>
      <c r="B85" s="265">
        <v>85201</v>
      </c>
      <c r="C85" s="264" t="s">
        <v>549</v>
      </c>
      <c r="D85" s="733">
        <f>SUM(9W!D913)</f>
        <v>0</v>
      </c>
      <c r="E85" s="733">
        <f>SUM(9W!E913)</f>
        <v>0</v>
      </c>
      <c r="F85" s="1097" t="e">
        <f t="shared" si="1"/>
        <v>#DIV/0!</v>
      </c>
      <c r="G85" s="3" t="s">
        <v>972</v>
      </c>
    </row>
    <row r="86" spans="1:7" ht="26.25" customHeight="1">
      <c r="A86" s="269" t="s">
        <v>958</v>
      </c>
      <c r="B86" s="265">
        <v>85149</v>
      </c>
      <c r="C86" s="1091" t="s">
        <v>1095</v>
      </c>
      <c r="D86" s="737">
        <f>9W!D896</f>
        <v>231000</v>
      </c>
      <c r="E86" s="737">
        <f>9W!E896</f>
        <v>231000</v>
      </c>
      <c r="F86" s="1088">
        <f t="shared" si="1"/>
        <v>100</v>
      </c>
      <c r="G86" s="1089" t="s">
        <v>755</v>
      </c>
    </row>
    <row r="87" spans="1:7" ht="24.75" customHeight="1" hidden="1" thickBot="1">
      <c r="A87" s="794" t="s">
        <v>958</v>
      </c>
      <c r="B87" s="1125">
        <v>85321</v>
      </c>
      <c r="C87" s="1115" t="s">
        <v>1092</v>
      </c>
      <c r="D87" s="1102">
        <f>SUM(9W!D958)</f>
        <v>0</v>
      </c>
      <c r="E87" s="1102">
        <f>SUM(9W!E958)</f>
        <v>0</v>
      </c>
      <c r="F87" s="1103" t="e">
        <f>E87/D87*100</f>
        <v>#DIV/0!</v>
      </c>
      <c r="G87" s="1089" t="s">
        <v>972</v>
      </c>
    </row>
    <row r="88" spans="1:6" ht="18" customHeight="1" thickBot="1">
      <c r="A88" s="1488" t="s">
        <v>499</v>
      </c>
      <c r="B88" s="1489"/>
      <c r="C88" s="1490"/>
      <c r="D88" s="845">
        <f>SUM(D63,D83)</f>
        <v>5848552</v>
      </c>
      <c r="E88" s="845">
        <f>SUM(E63,E83)</f>
        <v>3268916.2600000002</v>
      </c>
      <c r="F88" s="1090">
        <f t="shared" si="1"/>
        <v>55.89274507604618</v>
      </c>
    </row>
    <row r="89" ht="54" customHeight="1"/>
    <row r="90" spans="1:6" ht="54.75" customHeight="1" thickBot="1">
      <c r="A90" s="1499" t="s">
        <v>1402</v>
      </c>
      <c r="B90" s="1499"/>
      <c r="C90" s="1499"/>
      <c r="D90" s="1499"/>
      <c r="E90" s="1499"/>
      <c r="F90" s="1499"/>
    </row>
    <row r="91" spans="1:6" ht="17.25" customHeight="1">
      <c r="A91" s="250" t="s">
        <v>823</v>
      </c>
      <c r="B91" s="6" t="s">
        <v>170</v>
      </c>
      <c r="C91" s="774" t="s">
        <v>123</v>
      </c>
      <c r="D91" s="251" t="s">
        <v>172</v>
      </c>
      <c r="E91" s="1385" t="s">
        <v>173</v>
      </c>
      <c r="F91" s="252" t="s">
        <v>174</v>
      </c>
    </row>
    <row r="92" spans="1:6" ht="12" customHeight="1">
      <c r="A92" s="1078">
        <v>1</v>
      </c>
      <c r="B92" s="1079">
        <v>2</v>
      </c>
      <c r="C92" s="1079">
        <v>3</v>
      </c>
      <c r="D92" s="1079">
        <v>4</v>
      </c>
      <c r="E92" s="1080">
        <v>5</v>
      </c>
      <c r="F92" s="1081">
        <v>6</v>
      </c>
    </row>
    <row r="93" spans="1:6" ht="21.75" customHeight="1">
      <c r="A93" s="1491" t="s">
        <v>497</v>
      </c>
      <c r="B93" s="1492"/>
      <c r="C93" s="1493"/>
      <c r="D93" s="787">
        <f>SUM(D94,D95,D96)</f>
        <v>1300</v>
      </c>
      <c r="E93" s="787">
        <f>SUM(E94,E95,E96)</f>
        <v>573.46</v>
      </c>
      <c r="F93" s="1086">
        <f aca="true" t="shared" si="2" ref="F93:F102">E93/D93*100</f>
        <v>44.112307692307695</v>
      </c>
    </row>
    <row r="94" spans="1:7" ht="24" customHeight="1">
      <c r="A94" s="269" t="s">
        <v>826</v>
      </c>
      <c r="B94" s="1104" t="s">
        <v>1081</v>
      </c>
      <c r="C94" s="264" t="s">
        <v>1082</v>
      </c>
      <c r="D94" s="737">
        <f>SUM(9W!D16)</f>
        <v>1300</v>
      </c>
      <c r="E94" s="737">
        <f>SUM(9W!E16)</f>
        <v>573.46</v>
      </c>
      <c r="F94" s="1088">
        <f t="shared" si="2"/>
        <v>44.112307692307695</v>
      </c>
      <c r="G94" s="1089" t="s">
        <v>134</v>
      </c>
    </row>
    <row r="95" spans="1:7" ht="24" customHeight="1" hidden="1">
      <c r="A95" s="269" t="s">
        <v>827</v>
      </c>
      <c r="B95" s="1104" t="s">
        <v>1136</v>
      </c>
      <c r="C95" s="264" t="s">
        <v>1137</v>
      </c>
      <c r="D95" s="737">
        <v>0</v>
      </c>
      <c r="E95" s="737">
        <v>0</v>
      </c>
      <c r="F95" s="1088" t="e">
        <f t="shared" si="2"/>
        <v>#DIV/0!</v>
      </c>
      <c r="G95" s="1089" t="s">
        <v>1262</v>
      </c>
    </row>
    <row r="96" spans="1:7" ht="24" customHeight="1" hidden="1">
      <c r="A96" s="269" t="s">
        <v>827</v>
      </c>
      <c r="B96" s="1104" t="s">
        <v>1113</v>
      </c>
      <c r="C96" s="264" t="s">
        <v>131</v>
      </c>
      <c r="D96" s="737">
        <f>9W!D618</f>
        <v>0</v>
      </c>
      <c r="E96" s="737">
        <f>9W!E618</f>
        <v>0</v>
      </c>
      <c r="F96" s="1088" t="e">
        <f t="shared" si="2"/>
        <v>#DIV/0!</v>
      </c>
      <c r="G96" s="1089" t="s">
        <v>132</v>
      </c>
    </row>
    <row r="97" spans="1:6" ht="18" customHeight="1">
      <c r="A97" s="1491" t="s">
        <v>498</v>
      </c>
      <c r="B97" s="1492"/>
      <c r="C97" s="1493"/>
      <c r="D97" s="787">
        <f>SUM(D98,D99,D100,D101)</f>
        <v>167000</v>
      </c>
      <c r="E97" s="787">
        <f>SUM(E98,E99,E100,E101)</f>
        <v>135000</v>
      </c>
      <c r="F97" s="1086">
        <f t="shared" si="2"/>
        <v>80.83832335329342</v>
      </c>
    </row>
    <row r="98" spans="1:7" ht="21.75" customHeight="1">
      <c r="A98" s="269" t="s">
        <v>827</v>
      </c>
      <c r="B98" s="265">
        <v>75405</v>
      </c>
      <c r="C98" s="264" t="s">
        <v>1109</v>
      </c>
      <c r="D98" s="737">
        <f>SUM(9W!D776)</f>
        <v>157000</v>
      </c>
      <c r="E98" s="737">
        <f>SUM(9W!E776)</f>
        <v>125000</v>
      </c>
      <c r="F98" s="1088">
        <f>E98/D98*100</f>
        <v>79.61783439490446</v>
      </c>
      <c r="G98" s="1089" t="s">
        <v>1334</v>
      </c>
    </row>
    <row r="99" spans="1:7" ht="21.75" customHeight="1">
      <c r="A99" s="269" t="s">
        <v>942</v>
      </c>
      <c r="B99" s="265">
        <v>75406</v>
      </c>
      <c r="C99" s="264" t="s">
        <v>1068</v>
      </c>
      <c r="D99" s="737">
        <f>9W!D782</f>
        <v>10000</v>
      </c>
      <c r="E99" s="737">
        <f>9W!E782</f>
        <v>10000</v>
      </c>
      <c r="F99" s="1088">
        <f>E99/D99*100</f>
        <v>100</v>
      </c>
      <c r="G99" s="1089" t="s">
        <v>1334</v>
      </c>
    </row>
    <row r="100" spans="1:7" ht="24" customHeight="1" hidden="1">
      <c r="A100" s="269" t="s">
        <v>950</v>
      </c>
      <c r="B100" s="265">
        <v>75411</v>
      </c>
      <c r="C100" s="264" t="s">
        <v>305</v>
      </c>
      <c r="D100" s="737">
        <f>SUM(9W!D789)</f>
        <v>0</v>
      </c>
      <c r="E100" s="737">
        <f>SUM(9W!E789)</f>
        <v>0</v>
      </c>
      <c r="F100" s="1088" t="e">
        <f>E100/D100*100</f>
        <v>#DIV/0!</v>
      </c>
      <c r="G100" s="1089" t="s">
        <v>133</v>
      </c>
    </row>
    <row r="101" spans="1:10" ht="24" customHeight="1" hidden="1" thickBot="1">
      <c r="A101" s="794" t="s">
        <v>950</v>
      </c>
      <c r="B101" s="1100">
        <v>85204</v>
      </c>
      <c r="C101" s="1115" t="s">
        <v>530</v>
      </c>
      <c r="D101" s="1102">
        <v>0</v>
      </c>
      <c r="E101" s="1102">
        <v>0</v>
      </c>
      <c r="F101" s="1103" t="e">
        <f t="shared" si="2"/>
        <v>#DIV/0!</v>
      </c>
      <c r="G101" s="1089" t="s">
        <v>696</v>
      </c>
      <c r="J101" s="263" t="s">
        <v>1172</v>
      </c>
    </row>
    <row r="102" spans="1:6" ht="17.25" customHeight="1" thickBot="1">
      <c r="A102" s="1488" t="s">
        <v>500</v>
      </c>
      <c r="B102" s="1489"/>
      <c r="C102" s="1490"/>
      <c r="D102" s="845">
        <f>SUM(D93,D97)</f>
        <v>168300</v>
      </c>
      <c r="E102" s="845">
        <f>SUM(E93,E97)</f>
        <v>135573.46</v>
      </c>
      <c r="F102" s="1090">
        <f t="shared" si="2"/>
        <v>80.55464052287581</v>
      </c>
    </row>
    <row r="103" ht="45" customHeight="1"/>
    <row r="104" spans="1:7" ht="48.75" customHeight="1" thickBot="1">
      <c r="A104" s="1499" t="s">
        <v>1283</v>
      </c>
      <c r="B104" s="1499"/>
      <c r="C104" s="1499"/>
      <c r="D104" s="1499"/>
      <c r="E104" s="1499"/>
      <c r="F104" s="1499"/>
      <c r="G104" s="1113"/>
    </row>
    <row r="105" spans="1:6" ht="20.25" customHeight="1">
      <c r="A105" s="250" t="s">
        <v>823</v>
      </c>
      <c r="B105" s="6" t="s">
        <v>170</v>
      </c>
      <c r="C105" s="774" t="s">
        <v>123</v>
      </c>
      <c r="D105" s="251" t="s">
        <v>172</v>
      </c>
      <c r="E105" s="1385" t="s">
        <v>173</v>
      </c>
      <c r="F105" s="252" t="s">
        <v>174</v>
      </c>
    </row>
    <row r="106" spans="1:10" s="592" customFormat="1" ht="10.5" customHeight="1">
      <c r="A106" s="1078">
        <v>1</v>
      </c>
      <c r="B106" s="1079">
        <v>2</v>
      </c>
      <c r="C106" s="1079">
        <v>3</v>
      </c>
      <c r="D106" s="1079">
        <v>4</v>
      </c>
      <c r="E106" s="1080">
        <v>5</v>
      </c>
      <c r="F106" s="1081">
        <v>6</v>
      </c>
      <c r="G106" s="255"/>
      <c r="H106" s="1082"/>
      <c r="I106" s="1083"/>
      <c r="J106" s="1106"/>
    </row>
    <row r="107" spans="1:6" ht="18.75" customHeight="1">
      <c r="A107" s="1491" t="s">
        <v>497</v>
      </c>
      <c r="B107" s="1492"/>
      <c r="C107" s="1493"/>
      <c r="D107" s="787">
        <f>SUM(D108:D114)</f>
        <v>9887385</v>
      </c>
      <c r="E107" s="787">
        <f>SUM(E108:E114)</f>
        <v>720509.48</v>
      </c>
      <c r="F107" s="1086">
        <f>E107/D107*100</f>
        <v>7.287159142685351</v>
      </c>
    </row>
    <row r="108" spans="1:7" ht="24" customHeight="1">
      <c r="A108" s="269" t="s">
        <v>826</v>
      </c>
      <c r="B108" s="265">
        <v>70001</v>
      </c>
      <c r="C108" s="264" t="s">
        <v>939</v>
      </c>
      <c r="D108" s="737">
        <f>SUM(9W!D77,9W!D78)</f>
        <v>7445100</v>
      </c>
      <c r="E108" s="737">
        <f>SUM(9W!E77,9W!E78)</f>
        <v>433879.42</v>
      </c>
      <c r="F108" s="1088">
        <f aca="true" t="shared" si="3" ref="F108:F120">E108/D108*100</f>
        <v>5.827717827833071</v>
      </c>
      <c r="G108" s="1089" t="s">
        <v>996</v>
      </c>
    </row>
    <row r="109" spans="1:10" ht="31.5" customHeight="1">
      <c r="A109" s="269" t="s">
        <v>827</v>
      </c>
      <c r="B109" s="265">
        <v>90095</v>
      </c>
      <c r="C109" s="264" t="s">
        <v>1586</v>
      </c>
      <c r="D109" s="737">
        <v>600000</v>
      </c>
      <c r="E109" s="737">
        <v>0</v>
      </c>
      <c r="F109" s="1088">
        <f t="shared" si="3"/>
        <v>0</v>
      </c>
      <c r="G109" s="1089" t="s">
        <v>1516</v>
      </c>
      <c r="J109" s="263" t="s">
        <v>1172</v>
      </c>
    </row>
    <row r="110" spans="1:10" ht="24" customHeight="1">
      <c r="A110" s="269" t="s">
        <v>942</v>
      </c>
      <c r="B110" s="265">
        <v>92109</v>
      </c>
      <c r="C110" s="1091" t="s">
        <v>124</v>
      </c>
      <c r="D110" s="737">
        <f>9W!D641</f>
        <v>75000</v>
      </c>
      <c r="E110" s="737">
        <f>9W!E641</f>
        <v>71617.06</v>
      </c>
      <c r="F110" s="1088">
        <f t="shared" si="3"/>
        <v>95.48941333333333</v>
      </c>
      <c r="G110" s="1089" t="s">
        <v>1261</v>
      </c>
      <c r="J110" s="263" t="s">
        <v>1172</v>
      </c>
    </row>
    <row r="111" spans="1:7" ht="24" customHeight="1">
      <c r="A111" s="269" t="s">
        <v>949</v>
      </c>
      <c r="B111" s="265">
        <v>92116</v>
      </c>
      <c r="C111" s="1091" t="s">
        <v>194</v>
      </c>
      <c r="D111" s="737">
        <f>9W!D647</f>
        <v>150000</v>
      </c>
      <c r="E111" s="737">
        <f>9W!E647</f>
        <v>0</v>
      </c>
      <c r="F111" s="1088">
        <f t="shared" si="3"/>
        <v>0</v>
      </c>
      <c r="G111" s="1089" t="s">
        <v>997</v>
      </c>
    </row>
    <row r="112" spans="1:7" ht="24" customHeight="1">
      <c r="A112" s="269" t="s">
        <v>950</v>
      </c>
      <c r="B112" s="265">
        <v>92118</v>
      </c>
      <c r="C112" s="1091" t="s">
        <v>195</v>
      </c>
      <c r="D112" s="737">
        <f>9W!D652</f>
        <v>187500</v>
      </c>
      <c r="E112" s="737">
        <f>9W!E652</f>
        <v>7500</v>
      </c>
      <c r="F112" s="1088">
        <f t="shared" si="3"/>
        <v>4</v>
      </c>
      <c r="G112" s="1089" t="s">
        <v>997</v>
      </c>
    </row>
    <row r="113" spans="1:7" ht="24" customHeight="1">
      <c r="A113" s="269" t="s">
        <v>951</v>
      </c>
      <c r="B113" s="265">
        <v>92120</v>
      </c>
      <c r="C113" s="1091" t="s">
        <v>343</v>
      </c>
      <c r="D113" s="737">
        <f>9W!D659</f>
        <v>250000</v>
      </c>
      <c r="E113" s="737">
        <f>9W!E659</f>
        <v>0</v>
      </c>
      <c r="F113" s="1088">
        <f t="shared" si="3"/>
        <v>0</v>
      </c>
      <c r="G113" s="1089" t="s">
        <v>344</v>
      </c>
    </row>
    <row r="114" spans="1:7" ht="24" customHeight="1">
      <c r="A114" s="269" t="s">
        <v>281</v>
      </c>
      <c r="B114" s="265">
        <v>92605</v>
      </c>
      <c r="C114" s="1091" t="s">
        <v>1090</v>
      </c>
      <c r="D114" s="737">
        <f>9W!D682</f>
        <v>1179785</v>
      </c>
      <c r="E114" s="737">
        <f>9W!E682</f>
        <v>207513</v>
      </c>
      <c r="F114" s="1088">
        <f t="shared" si="3"/>
        <v>17.58905224256962</v>
      </c>
      <c r="G114" s="1089" t="s">
        <v>1282</v>
      </c>
    </row>
    <row r="115" spans="1:10" s="3" customFormat="1" ht="20.25" customHeight="1">
      <c r="A115" s="1491" t="s">
        <v>498</v>
      </c>
      <c r="B115" s="1492"/>
      <c r="C115" s="1493"/>
      <c r="D115" s="1114">
        <f>SUM(D116,D117,D118,D119)</f>
        <v>942500</v>
      </c>
      <c r="E115" s="1114">
        <f>SUM(E116,E117,E118,E119)</f>
        <v>788298</v>
      </c>
      <c r="F115" s="1086">
        <f>E115/D115*100</f>
        <v>83.63904509283819</v>
      </c>
      <c r="H115" s="246"/>
      <c r="I115" s="1075"/>
      <c r="J115" s="288"/>
    </row>
    <row r="116" spans="1:10" s="3" customFormat="1" ht="20.25" customHeight="1">
      <c r="A116" s="269" t="s">
        <v>282</v>
      </c>
      <c r="B116" s="265">
        <v>75405</v>
      </c>
      <c r="C116" s="264" t="s">
        <v>887</v>
      </c>
      <c r="D116" s="737">
        <f>SUM(9W!D779)</f>
        <v>300000</v>
      </c>
      <c r="E116" s="737">
        <f>SUM(9W!E779)</f>
        <v>180000</v>
      </c>
      <c r="F116" s="1088">
        <f>E116/D116*100</f>
        <v>60</v>
      </c>
      <c r="G116" s="1089" t="s">
        <v>1000</v>
      </c>
      <c r="H116" s="246"/>
      <c r="I116" s="1075"/>
      <c r="J116" s="288"/>
    </row>
    <row r="117" spans="1:10" s="3" customFormat="1" ht="20.25" customHeight="1" hidden="1">
      <c r="A117" s="269" t="s">
        <v>281</v>
      </c>
      <c r="B117" s="265">
        <v>75411</v>
      </c>
      <c r="C117" s="264" t="s">
        <v>309</v>
      </c>
      <c r="D117" s="737">
        <f>SUM(9W!D791)</f>
        <v>0</v>
      </c>
      <c r="E117" s="737">
        <f>SUM(9W!E791)</f>
        <v>0</v>
      </c>
      <c r="F117" s="1088" t="e">
        <f>E117/D117*100</f>
        <v>#DIV/0!</v>
      </c>
      <c r="G117" s="1089" t="s">
        <v>1000</v>
      </c>
      <c r="H117" s="246"/>
      <c r="I117" s="1075"/>
      <c r="J117" s="288"/>
    </row>
    <row r="118" spans="1:10" ht="31.5" customHeight="1">
      <c r="A118" s="269" t="s">
        <v>952</v>
      </c>
      <c r="B118" s="265">
        <v>85111</v>
      </c>
      <c r="C118" s="264" t="s">
        <v>1404</v>
      </c>
      <c r="D118" s="737">
        <v>500000</v>
      </c>
      <c r="E118" s="737">
        <v>475000</v>
      </c>
      <c r="F118" s="1088">
        <f>E118/D118*100</f>
        <v>95</v>
      </c>
      <c r="G118" s="1089" t="s">
        <v>997</v>
      </c>
      <c r="J118" s="263" t="s">
        <v>1172</v>
      </c>
    </row>
    <row r="119" spans="1:10" ht="29.25" customHeight="1" thickBot="1">
      <c r="A119" s="794" t="s">
        <v>954</v>
      </c>
      <c r="B119" s="1100">
        <v>85117</v>
      </c>
      <c r="C119" s="1120" t="s">
        <v>620</v>
      </c>
      <c r="D119" s="743">
        <v>142500</v>
      </c>
      <c r="E119" s="743">
        <v>133298</v>
      </c>
      <c r="F119" s="1121">
        <f>E119/D119*100</f>
        <v>93.54245614035088</v>
      </c>
      <c r="G119" s="3" t="s">
        <v>997</v>
      </c>
      <c r="J119" s="263" t="s">
        <v>1172</v>
      </c>
    </row>
    <row r="120" spans="1:10" s="3" customFormat="1" ht="18" customHeight="1" thickBot="1" thickTop="1">
      <c r="A120" s="1488" t="s">
        <v>499</v>
      </c>
      <c r="B120" s="1489"/>
      <c r="C120" s="1490"/>
      <c r="D120" s="845">
        <f>SUM(D107,D115)</f>
        <v>10829885</v>
      </c>
      <c r="E120" s="845">
        <f>SUM(E107,E115)</f>
        <v>1508807.48</v>
      </c>
      <c r="F120" s="1090">
        <f t="shared" si="3"/>
        <v>13.931888288749143</v>
      </c>
      <c r="H120" s="246"/>
      <c r="I120" s="1075"/>
      <c r="J120" s="288"/>
    </row>
    <row r="121" spans="1:10" s="486" customFormat="1" ht="21" customHeight="1" thickBot="1">
      <c r="A121" s="551"/>
      <c r="B121" s="551"/>
      <c r="C121" s="551"/>
      <c r="D121" s="1293"/>
      <c r="E121" s="1293"/>
      <c r="F121" s="1397"/>
      <c r="H121" s="719"/>
      <c r="I121" s="1105"/>
      <c r="J121" s="1127"/>
    </row>
    <row r="122" spans="1:10" s="592" customFormat="1" ht="18" customHeight="1">
      <c r="A122" s="1511" t="s">
        <v>123</v>
      </c>
      <c r="B122" s="1512"/>
      <c r="C122" s="1513"/>
      <c r="D122" s="1122" t="s">
        <v>573</v>
      </c>
      <c r="E122" s="1123" t="s">
        <v>574</v>
      </c>
      <c r="F122" s="1124" t="s">
        <v>174</v>
      </c>
      <c r="G122" s="255"/>
      <c r="H122" s="1082"/>
      <c r="I122" s="1083"/>
      <c r="J122" s="1106"/>
    </row>
    <row r="123" spans="1:10" s="569" customFormat="1" ht="18.75" customHeight="1">
      <c r="A123" s="1507" t="s">
        <v>339</v>
      </c>
      <c r="B123" s="1508"/>
      <c r="C123" s="1509"/>
      <c r="D123" s="1398">
        <f>SUM(D11,D58,D88,D102)</f>
        <v>20427537</v>
      </c>
      <c r="E123" s="1398">
        <f>SUM(E11,E58,E88,E102)</f>
        <v>10233886.190000001</v>
      </c>
      <c r="F123" s="1128">
        <f>E123/D123*100</f>
        <v>50.09848318962781</v>
      </c>
      <c r="H123" s="246"/>
      <c r="I123" s="1075"/>
      <c r="J123" s="1129"/>
    </row>
    <row r="124" spans="1:10" s="569" customFormat="1" ht="18.75" customHeight="1" thickBot="1">
      <c r="A124" s="1501" t="s">
        <v>999</v>
      </c>
      <c r="B124" s="1502"/>
      <c r="C124" s="1503"/>
      <c r="D124" s="1399">
        <f>SUM(D120)</f>
        <v>10829885</v>
      </c>
      <c r="E124" s="1399">
        <f>SUM(E120)</f>
        <v>1508807.48</v>
      </c>
      <c r="F124" s="1130">
        <f>E124/D124*100</f>
        <v>13.931888288749143</v>
      </c>
      <c r="H124" s="246"/>
      <c r="I124" s="1075"/>
      <c r="J124" s="1129"/>
    </row>
    <row r="125" spans="1:10" s="3" customFormat="1" ht="18.75" customHeight="1" thickBot="1" thickTop="1">
      <c r="A125" s="1504" t="s">
        <v>507</v>
      </c>
      <c r="B125" s="1505"/>
      <c r="C125" s="1506"/>
      <c r="D125" s="669">
        <f>SUM(D123,D124)</f>
        <v>31257422</v>
      </c>
      <c r="E125" s="669">
        <f>SUM(E123,E124)</f>
        <v>11742693.670000002</v>
      </c>
      <c r="F125" s="1131">
        <f>E125/D125*100</f>
        <v>37.56769726562863</v>
      </c>
      <c r="H125" s="246"/>
      <c r="I125" s="1075"/>
      <c r="J125" s="288"/>
    </row>
    <row r="126" spans="1:10" s="486" customFormat="1" ht="27" customHeight="1">
      <c r="A126" s="1500" t="s">
        <v>1518</v>
      </c>
      <c r="B126" s="1500"/>
      <c r="C126" s="1500"/>
      <c r="D126" s="1500"/>
      <c r="E126" s="1500"/>
      <c r="F126" s="1500"/>
      <c r="H126" s="719"/>
      <c r="I126" s="1105"/>
      <c r="J126" s="1127"/>
    </row>
    <row r="127" spans="3:5" ht="12.75" hidden="1">
      <c r="C127" s="248" t="s">
        <v>345</v>
      </c>
      <c r="D127" s="263">
        <v>15644959</v>
      </c>
      <c r="E127" s="263">
        <v>15356001.75</v>
      </c>
    </row>
    <row r="128" spans="3:5" ht="12.75" hidden="1">
      <c r="C128" s="248" t="s">
        <v>181</v>
      </c>
      <c r="D128" s="263">
        <v>2801980</v>
      </c>
      <c r="E128" s="263">
        <v>1902826.9</v>
      </c>
    </row>
    <row r="129" spans="4:5" ht="22.5" customHeight="1" hidden="1">
      <c r="D129" s="1129">
        <f>SUM(D127:D128)</f>
        <v>18446939</v>
      </c>
      <c r="E129" s="1129">
        <f>SUM(E127:E128)</f>
        <v>17258828.65</v>
      </c>
    </row>
    <row r="130" spans="3:5" ht="12.75" hidden="1">
      <c r="C130" s="248" t="s">
        <v>975</v>
      </c>
      <c r="D130" s="263">
        <f>D127-D123</f>
        <v>-4782578</v>
      </c>
      <c r="E130" s="263">
        <f>E127-E123</f>
        <v>5122115.559999999</v>
      </c>
    </row>
    <row r="131" spans="3:5" ht="12.75" hidden="1">
      <c r="C131" s="248" t="s">
        <v>990</v>
      </c>
      <c r="D131" s="263">
        <f>D128-D124</f>
        <v>-8027905</v>
      </c>
      <c r="E131" s="263">
        <f>E128-E124</f>
        <v>394019.4199999999</v>
      </c>
    </row>
    <row r="132" ht="12.75" hidden="1"/>
    <row r="133" ht="12.75" hidden="1"/>
    <row r="134" spans="3:6" ht="12.75" hidden="1">
      <c r="C134" s="248" t="s">
        <v>182</v>
      </c>
      <c r="D134" s="263">
        <f>SUM(D8,D16,D63,D93,D107)</f>
        <v>27269576</v>
      </c>
      <c r="E134" s="263">
        <f>SUM(E8,E16,E63,E93,E107)</f>
        <v>9458510.350000001</v>
      </c>
      <c r="F134" s="263"/>
    </row>
    <row r="135" spans="3:5" ht="12.75" hidden="1">
      <c r="C135" s="248" t="s">
        <v>183</v>
      </c>
      <c r="D135" s="1400">
        <f>SUM(D37,D83,D97,D115)</f>
        <v>3987846</v>
      </c>
      <c r="E135" s="1400">
        <f>SUM(E37,E83,E97,E115)</f>
        <v>2284183.32</v>
      </c>
    </row>
    <row r="136" spans="4:5" ht="13.5" hidden="1">
      <c r="D136" s="1129">
        <f>SUM(D134,D135)</f>
        <v>31257422</v>
      </c>
      <c r="E136" s="1129">
        <f>SUM(E134,E135)</f>
        <v>11742693.670000002</v>
      </c>
    </row>
    <row r="137" ht="12.75" hidden="1"/>
    <row r="138" spans="3:5" ht="12.75" hidden="1">
      <c r="C138" s="248" t="s">
        <v>758</v>
      </c>
      <c r="D138" s="263"/>
      <c r="E138" s="263"/>
    </row>
    <row r="139" spans="3:5" ht="12.75" hidden="1">
      <c r="C139" s="248" t="s">
        <v>187</v>
      </c>
      <c r="D139" s="263"/>
      <c r="E139" s="263"/>
    </row>
    <row r="140" spans="3:8" ht="12.75" hidden="1">
      <c r="C140" s="248" t="s">
        <v>184</v>
      </c>
      <c r="D140" s="263"/>
      <c r="E140" s="263"/>
      <c r="F140" s="2" t="s">
        <v>186</v>
      </c>
      <c r="H140" s="873"/>
    </row>
    <row r="141" spans="3:5" ht="12.75" hidden="1">
      <c r="C141" s="248" t="s">
        <v>185</v>
      </c>
      <c r="D141" s="263"/>
      <c r="E141" s="263"/>
    </row>
    <row r="142" ht="12.75" hidden="1"/>
    <row r="143" ht="12.75" hidden="1"/>
    <row r="144" ht="12.75" hidden="1"/>
    <row r="145" ht="12.75" hidden="1"/>
    <row r="146" ht="12.75" hidden="1">
      <c r="A146" s="722" t="s">
        <v>1519</v>
      </c>
    </row>
  </sheetData>
  <sheetProtection password="CF53" sheet="1" formatCells="0" formatColumns="0" formatRows="0" insertColumns="0" insertRows="0" insertHyperlinks="0" deleteColumns="0" deleteRows="0" sort="0" autoFilter="0" pivotTables="0"/>
  <mergeCells count="27">
    <mergeCell ref="H6:I6"/>
    <mergeCell ref="A63:C63"/>
    <mergeCell ref="A83:C83"/>
    <mergeCell ref="A122:C122"/>
    <mergeCell ref="A97:C97"/>
    <mergeCell ref="A104:F104"/>
    <mergeCell ref="A102:C102"/>
    <mergeCell ref="A60:F60"/>
    <mergeCell ref="A126:F126"/>
    <mergeCell ref="A88:C88"/>
    <mergeCell ref="A115:C115"/>
    <mergeCell ref="A124:C124"/>
    <mergeCell ref="A125:C125"/>
    <mergeCell ref="A123:C123"/>
    <mergeCell ref="A93:C93"/>
    <mergeCell ref="A107:C107"/>
    <mergeCell ref="A90:F90"/>
    <mergeCell ref="A120:C120"/>
    <mergeCell ref="E1:F1"/>
    <mergeCell ref="A58:C58"/>
    <mergeCell ref="A16:C16"/>
    <mergeCell ref="A37:C37"/>
    <mergeCell ref="A8:C8"/>
    <mergeCell ref="A11:C11"/>
    <mergeCell ref="A3:F3"/>
    <mergeCell ref="A5:E5"/>
    <mergeCell ref="A13:F13"/>
  </mergeCells>
  <printOptions horizontalCentered="1"/>
  <pageMargins left="0.5905511811023623" right="0.5905511811023623" top="0.7874015748031497" bottom="0.984251968503937" header="0.5118110236220472" footer="0.5118110236220472"/>
  <pageSetup firstPageNumber="63" useFirstPageNumber="1" horizontalDpi="600" verticalDpi="600" orientation="portrait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Q202"/>
  <sheetViews>
    <sheetView view="pageBreakPreview" zoomScale="112" zoomScaleSheetLayoutView="112" zoomScalePageLayoutView="0" workbookViewId="0" topLeftCell="A74">
      <selection activeCell="U81" sqref="U81"/>
    </sheetView>
  </sheetViews>
  <sheetFormatPr defaultColWidth="9.00390625" defaultRowHeight="12.75"/>
  <cols>
    <col min="1" max="1" width="4.75390625" style="1242" customWidth="1"/>
    <col min="2" max="2" width="7.125" style="1242" customWidth="1"/>
    <col min="3" max="3" width="23.00390625" style="532" customWidth="1"/>
    <col min="4" max="4" width="12.625" style="493" customWidth="1"/>
    <col min="5" max="5" width="12.75390625" style="493" customWidth="1"/>
    <col min="6" max="6" width="5.75390625" style="493" customWidth="1"/>
    <col min="7" max="7" width="12.375" style="1243" customWidth="1"/>
    <col min="8" max="8" width="12.625" style="493" customWidth="1"/>
    <col min="9" max="9" width="5.625" style="1243" customWidth="1"/>
    <col min="10" max="10" width="12.00390625" style="1244" hidden="1" customWidth="1"/>
    <col min="11" max="11" width="12.625" style="1244" hidden="1" customWidth="1"/>
    <col min="12" max="13" width="12.00390625" style="1245" hidden="1" customWidth="1"/>
    <col min="14" max="14" width="17.25390625" style="1245" hidden="1" customWidth="1"/>
    <col min="15" max="15" width="19.875" style="1246" hidden="1" customWidth="1"/>
    <col min="16" max="16" width="18.125" style="493" hidden="1" customWidth="1"/>
    <col min="17" max="17" width="9.375" style="493" hidden="1" customWidth="1"/>
    <col min="18" max="16384" width="9.125" style="493" customWidth="1"/>
  </cols>
  <sheetData>
    <row r="1" spans="8:10" ht="22.5" customHeight="1">
      <c r="H1" s="1439" t="s">
        <v>920</v>
      </c>
      <c r="I1" s="1439"/>
      <c r="J1" s="1113"/>
    </row>
    <row r="2" spans="1:9" ht="18.75" customHeight="1">
      <c r="A2" s="1516" t="s">
        <v>78</v>
      </c>
      <c r="B2" s="1516"/>
      <c r="C2" s="1516"/>
      <c r="D2" s="1516"/>
      <c r="E2" s="1516"/>
      <c r="F2" s="1516"/>
      <c r="G2" s="1516"/>
      <c r="H2" s="1516"/>
      <c r="I2" s="1516"/>
    </row>
    <row r="3" spans="8:9" ht="12.75" customHeight="1" thickBot="1">
      <c r="H3" s="1523" t="s">
        <v>169</v>
      </c>
      <c r="I3" s="1523"/>
    </row>
    <row r="4" spans="1:15" s="486" customFormat="1" ht="20.25" customHeight="1">
      <c r="A4" s="1527" t="s">
        <v>122</v>
      </c>
      <c r="B4" s="1529" t="s">
        <v>170</v>
      </c>
      <c r="C4" s="1514" t="s">
        <v>123</v>
      </c>
      <c r="D4" s="1524" t="s">
        <v>353</v>
      </c>
      <c r="E4" s="1525"/>
      <c r="F4" s="1525"/>
      <c r="G4" s="1524" t="s">
        <v>354</v>
      </c>
      <c r="H4" s="1525"/>
      <c r="I4" s="1526"/>
      <c r="J4" s="1247"/>
      <c r="K4" s="1247"/>
      <c r="L4" s="551">
        <v>1</v>
      </c>
      <c r="M4" s="551">
        <v>2</v>
      </c>
      <c r="N4" s="1248"/>
      <c r="O4" s="1249"/>
    </row>
    <row r="5" spans="1:15" s="485" customFormat="1" ht="18.75" customHeight="1">
      <c r="A5" s="1528"/>
      <c r="B5" s="1530"/>
      <c r="C5" s="1515"/>
      <c r="D5" s="1241" t="s">
        <v>172</v>
      </c>
      <c r="E5" s="1241" t="s">
        <v>173</v>
      </c>
      <c r="F5" s="1241" t="s">
        <v>174</v>
      </c>
      <c r="G5" s="1241" t="s">
        <v>817</v>
      </c>
      <c r="H5" s="1241" t="s">
        <v>818</v>
      </c>
      <c r="I5" s="1250" t="s">
        <v>174</v>
      </c>
      <c r="J5" s="1519" t="s">
        <v>764</v>
      </c>
      <c r="K5" s="1518" t="s">
        <v>189</v>
      </c>
      <c r="L5" s="1251" t="s">
        <v>759</v>
      </c>
      <c r="M5" s="551" t="s">
        <v>760</v>
      </c>
      <c r="N5" s="551" t="s">
        <v>762</v>
      </c>
      <c r="O5" s="1249"/>
    </row>
    <row r="6" spans="1:15" s="1258" customFormat="1" ht="13.5" thickBot="1">
      <c r="A6" s="1252">
        <v>1</v>
      </c>
      <c r="B6" s="1253">
        <v>2</v>
      </c>
      <c r="C6" s="1254">
        <v>3</v>
      </c>
      <c r="D6" s="1255">
        <v>4</v>
      </c>
      <c r="E6" s="1255">
        <v>5</v>
      </c>
      <c r="F6" s="1255">
        <v>6</v>
      </c>
      <c r="G6" s="1255">
        <v>7</v>
      </c>
      <c r="H6" s="1255">
        <v>8</v>
      </c>
      <c r="I6" s="1256">
        <v>9</v>
      </c>
      <c r="J6" s="1519"/>
      <c r="K6" s="1518"/>
      <c r="L6" s="1257" t="s">
        <v>125</v>
      </c>
      <c r="M6" s="1257" t="s">
        <v>761</v>
      </c>
      <c r="N6" s="1257" t="s">
        <v>763</v>
      </c>
      <c r="O6" s="1249"/>
    </row>
    <row r="7" spans="1:17" s="485" customFormat="1" ht="27.75" customHeight="1">
      <c r="A7" s="1259" t="s">
        <v>175</v>
      </c>
      <c r="B7" s="1260"/>
      <c r="C7" s="1261" t="s">
        <v>1078</v>
      </c>
      <c r="D7" s="1262">
        <f>SUM(D8)</f>
        <v>19838.33</v>
      </c>
      <c r="E7" s="1262">
        <f>SUM(E8)</f>
        <v>19838.33</v>
      </c>
      <c r="F7" s="1263">
        <f aca="true" t="shared" si="0" ref="F7:F82">E7/D7*100</f>
        <v>100</v>
      </c>
      <c r="G7" s="1264">
        <f>SUM(G8)</f>
        <v>19838.33</v>
      </c>
      <c r="H7" s="1264">
        <f>SUM(H8)</f>
        <v>19838.33</v>
      </c>
      <c r="I7" s="1265">
        <f aca="true" t="shared" si="1" ref="I7:I12">H7/G7*100</f>
        <v>100</v>
      </c>
      <c r="J7" s="1247"/>
      <c r="K7" s="1266">
        <f>SUM(H8)</f>
        <v>19838.33</v>
      </c>
      <c r="L7" s="1267"/>
      <c r="M7" s="551"/>
      <c r="N7" s="551"/>
      <c r="O7" s="1249" t="s">
        <v>831</v>
      </c>
      <c r="Q7" s="1268"/>
    </row>
    <row r="8" spans="1:17" s="1281" customFormat="1" ht="19.5" customHeight="1">
      <c r="A8" s="1273"/>
      <c r="B8" s="1274" t="s">
        <v>1083</v>
      </c>
      <c r="C8" s="1275" t="s">
        <v>176</v>
      </c>
      <c r="D8" s="1276">
        <f>SUM(6DOCHODY!E14,6DOCHODY!E606)</f>
        <v>19838.33</v>
      </c>
      <c r="E8" s="1276">
        <f>SUM(6DOCHODY!F14,6DOCHODY!F606)</f>
        <v>19838.33</v>
      </c>
      <c r="F8" s="1277">
        <f t="shared" si="0"/>
        <v>100</v>
      </c>
      <c r="G8" s="741">
        <f>D8</f>
        <v>19838.33</v>
      </c>
      <c r="H8" s="741">
        <f>SUM('12DiW zlecone'!D13)</f>
        <v>19838.33</v>
      </c>
      <c r="I8" s="1278">
        <f t="shared" si="1"/>
        <v>100</v>
      </c>
      <c r="J8" s="1270">
        <f>G8-H8</f>
        <v>0</v>
      </c>
      <c r="K8" s="1279"/>
      <c r="L8" s="1267"/>
      <c r="M8" s="1280"/>
      <c r="N8" s="1280"/>
      <c r="O8" s="1246" t="s">
        <v>336</v>
      </c>
      <c r="Q8" s="1282" t="s">
        <v>1192</v>
      </c>
    </row>
    <row r="9" spans="1:15" s="1258" customFormat="1" ht="20.25" customHeight="1" hidden="1">
      <c r="A9" s="1269" t="s">
        <v>263</v>
      </c>
      <c r="B9" s="1260"/>
      <c r="C9" s="1261" t="s">
        <v>264</v>
      </c>
      <c r="D9" s="1262">
        <f>SUM(D10,D11)</f>
        <v>0</v>
      </c>
      <c r="E9" s="1262">
        <f>SUM(E10,E11)</f>
        <v>0</v>
      </c>
      <c r="F9" s="1263" t="e">
        <f t="shared" si="0"/>
        <v>#DIV/0!</v>
      </c>
      <c r="G9" s="729">
        <f>SUM(G10,G11)</f>
        <v>0</v>
      </c>
      <c r="H9" s="729">
        <f>SUM(H10,H11)</f>
        <v>0</v>
      </c>
      <c r="I9" s="1265" t="e">
        <f t="shared" si="1"/>
        <v>#DIV/0!</v>
      </c>
      <c r="J9" s="1270"/>
      <c r="K9" s="1271"/>
      <c r="L9" s="1267"/>
      <c r="M9" s="1257"/>
      <c r="N9" s="1257"/>
      <c r="O9" s="1249" t="s">
        <v>831</v>
      </c>
    </row>
    <row r="10" spans="1:17" s="1281" customFormat="1" ht="51.75" customHeight="1" hidden="1">
      <c r="A10" s="1273"/>
      <c r="B10" s="1274" t="s">
        <v>265</v>
      </c>
      <c r="C10" s="1275" t="s">
        <v>27</v>
      </c>
      <c r="D10" s="1276">
        <f>SUM(6DOCHODY!E630,6DOCHODY!E632)</f>
        <v>0</v>
      </c>
      <c r="E10" s="1276">
        <f>SUM(6DOCHODY!F630,6DOCHODY!F632)</f>
        <v>0</v>
      </c>
      <c r="F10" s="1277" t="e">
        <f t="shared" si="0"/>
        <v>#DIV/0!</v>
      </c>
      <c r="G10" s="734">
        <f>D10</f>
        <v>0</v>
      </c>
      <c r="H10" s="734">
        <f>E10</f>
        <v>0</v>
      </c>
      <c r="I10" s="1278" t="e">
        <f t="shared" si="1"/>
        <v>#DIV/0!</v>
      </c>
      <c r="J10" s="1270">
        <f>G10-H10</f>
        <v>0</v>
      </c>
      <c r="K10" s="1283"/>
      <c r="L10" s="1284"/>
      <c r="M10" s="1280"/>
      <c r="N10" s="1280"/>
      <c r="O10" s="1246"/>
      <c r="P10" s="493"/>
      <c r="Q10" s="1282" t="s">
        <v>1197</v>
      </c>
    </row>
    <row r="11" spans="1:15" s="1281" customFormat="1" ht="25.5" customHeight="1" hidden="1">
      <c r="A11" s="1273"/>
      <c r="B11" s="1274" t="s">
        <v>266</v>
      </c>
      <c r="C11" s="1333" t="s">
        <v>267</v>
      </c>
      <c r="D11" s="1276">
        <f>6DOCHODY!E53</f>
        <v>0</v>
      </c>
      <c r="E11" s="1276">
        <f>6DOCHODY!F53</f>
        <v>0</v>
      </c>
      <c r="F11" s="1277" t="e">
        <f t="shared" si="0"/>
        <v>#DIV/0!</v>
      </c>
      <c r="G11" s="734">
        <f>D11</f>
        <v>0</v>
      </c>
      <c r="H11" s="734">
        <f>E11</f>
        <v>0</v>
      </c>
      <c r="I11" s="1278" t="e">
        <f t="shared" si="1"/>
        <v>#DIV/0!</v>
      </c>
      <c r="J11" s="1270">
        <f aca="true" t="shared" si="2" ref="J11:J83">G11-H11</f>
        <v>0</v>
      </c>
      <c r="K11" s="1283"/>
      <c r="L11" s="1284"/>
      <c r="M11" s="1280"/>
      <c r="N11" s="1280"/>
      <c r="O11" s="1246" t="s">
        <v>335</v>
      </c>
    </row>
    <row r="12" spans="1:15" s="1258" customFormat="1" ht="30.75" customHeight="1">
      <c r="A12" s="1269" t="s">
        <v>270</v>
      </c>
      <c r="B12" s="1260"/>
      <c r="C12" s="1261" t="s">
        <v>216</v>
      </c>
      <c r="D12" s="1262">
        <f>SUM(D13,D14)</f>
        <v>273523</v>
      </c>
      <c r="E12" s="1262">
        <f>SUM(E13,E14)</f>
        <v>169721</v>
      </c>
      <c r="F12" s="1263">
        <f t="shared" si="0"/>
        <v>62.0499921396007</v>
      </c>
      <c r="G12" s="729">
        <f>SUM(G13,G14)</f>
        <v>273523</v>
      </c>
      <c r="H12" s="729">
        <f>SUM(H13,H14)</f>
        <v>144041.03999999998</v>
      </c>
      <c r="I12" s="1265">
        <f t="shared" si="1"/>
        <v>52.66139958979683</v>
      </c>
      <c r="J12" s="1270">
        <f t="shared" si="2"/>
        <v>129481.96000000002</v>
      </c>
      <c r="K12" s="1272">
        <f>SUM(H12)</f>
        <v>144041.03999999998</v>
      </c>
      <c r="L12" s="1267"/>
      <c r="M12" s="1257"/>
      <c r="N12" s="1257"/>
      <c r="O12" s="1249" t="s">
        <v>831</v>
      </c>
    </row>
    <row r="13" spans="1:17" ht="29.25" customHeight="1">
      <c r="A13" s="1273"/>
      <c r="B13" s="1285" t="s">
        <v>217</v>
      </c>
      <c r="C13" s="1286" t="s">
        <v>218</v>
      </c>
      <c r="D13" s="267">
        <f>SUM(6DOCHODY!E105,6DOCHODY!E635,6DOCHODY!E637)</f>
        <v>214023</v>
      </c>
      <c r="E13" s="267">
        <f>SUM(6DOCHODY!F105,6DOCHODY!F635,6DOCHODY!F637)</f>
        <v>169721</v>
      </c>
      <c r="F13" s="1277">
        <f t="shared" si="0"/>
        <v>79.30035556926126</v>
      </c>
      <c r="G13" s="734">
        <f>D13</f>
        <v>214023</v>
      </c>
      <c r="H13" s="734">
        <f>SUM('12DiW zlecone'!D67)+'13DiW porozumienia'!D13</f>
        <v>144041.03999999998</v>
      </c>
      <c r="I13" s="1287">
        <f aca="true" t="shared" si="3" ref="I13:I61">H13/G13*100</f>
        <v>67.30166383986767</v>
      </c>
      <c r="J13" s="1270">
        <f t="shared" si="2"/>
        <v>69981.96000000002</v>
      </c>
      <c r="L13" s="1288"/>
      <c r="O13" s="1246" t="s">
        <v>226</v>
      </c>
      <c r="Q13" s="493" t="s">
        <v>1196</v>
      </c>
    </row>
    <row r="14" spans="1:15" ht="29.25" customHeight="1">
      <c r="A14" s="1273"/>
      <c r="B14" s="1285" t="s">
        <v>1102</v>
      </c>
      <c r="C14" s="1332" t="s">
        <v>176</v>
      </c>
      <c r="D14" s="267">
        <f>SUM(6DOCHODY!E109)</f>
        <v>59500</v>
      </c>
      <c r="E14" s="267">
        <f>SUM(6DOCHODY!F109)</f>
        <v>0</v>
      </c>
      <c r="F14" s="1277">
        <f t="shared" si="0"/>
        <v>0</v>
      </c>
      <c r="G14" s="734">
        <f>D14</f>
        <v>59500</v>
      </c>
      <c r="H14" s="734">
        <f>'13DiW porozumienia'!D15</f>
        <v>0</v>
      </c>
      <c r="I14" s="1287">
        <f t="shared" si="3"/>
        <v>0</v>
      </c>
      <c r="J14" s="1270">
        <f t="shared" si="2"/>
        <v>59500</v>
      </c>
      <c r="L14" s="1288"/>
      <c r="M14" s="1245">
        <v>0</v>
      </c>
      <c r="O14" s="1246" t="s">
        <v>227</v>
      </c>
    </row>
    <row r="15" spans="1:15" s="486" customFormat="1" ht="23.25" customHeight="1">
      <c r="A15" s="1269" t="s">
        <v>219</v>
      </c>
      <c r="B15" s="1289"/>
      <c r="C15" s="1290" t="s">
        <v>220</v>
      </c>
      <c r="D15" s="1291">
        <f>SUM(D16,D17,D18,D19,D20)</f>
        <v>490000</v>
      </c>
      <c r="E15" s="1291">
        <f>SUM(E16,E17,E18,E19,E20)</f>
        <v>222569.6</v>
      </c>
      <c r="F15" s="1263">
        <f t="shared" si="0"/>
        <v>45.42236734693878</v>
      </c>
      <c r="G15" s="729">
        <f>SUM(G16,G17,G18,G19,G20)</f>
        <v>490000</v>
      </c>
      <c r="H15" s="729">
        <f>SUM(H16,H17,H18,H19,H20)</f>
        <v>195600.06</v>
      </c>
      <c r="I15" s="1292">
        <f t="shared" si="3"/>
        <v>39.91837959183673</v>
      </c>
      <c r="J15" s="1270">
        <f t="shared" si="2"/>
        <v>294399.94</v>
      </c>
      <c r="K15" s="1266">
        <f>SUM(H15)</f>
        <v>195600.06</v>
      </c>
      <c r="L15" s="1293"/>
      <c r="M15" s="1248"/>
      <c r="N15" s="1248"/>
      <c r="O15" s="1249" t="s">
        <v>831</v>
      </c>
    </row>
    <row r="16" spans="1:15" s="486" customFormat="1" ht="31.5" customHeight="1">
      <c r="A16" s="1269"/>
      <c r="B16" s="1285" t="s">
        <v>1310</v>
      </c>
      <c r="C16" s="1286" t="s">
        <v>1311</v>
      </c>
      <c r="D16" s="267">
        <f>6DOCHODY!E641</f>
        <v>107000</v>
      </c>
      <c r="E16" s="267">
        <f>6DOCHODY!F641</f>
        <v>15000</v>
      </c>
      <c r="F16" s="1277">
        <f>E16/D16*100</f>
        <v>14.018691588785046</v>
      </c>
      <c r="G16" s="734">
        <f>D16</f>
        <v>107000</v>
      </c>
      <c r="H16" s="734">
        <f>SUM('12DiW zlecone'!D69)</f>
        <v>15000</v>
      </c>
      <c r="I16" s="1287">
        <f>H16/G16*100</f>
        <v>14.018691588785046</v>
      </c>
      <c r="J16" s="1270">
        <f t="shared" si="2"/>
        <v>92000</v>
      </c>
      <c r="K16" s="1266"/>
      <c r="L16" s="1293"/>
      <c r="M16" s="1248"/>
      <c r="N16" s="1248"/>
      <c r="O16" s="1249" t="s">
        <v>226</v>
      </c>
    </row>
    <row r="17" spans="1:17" ht="30" customHeight="1" hidden="1">
      <c r="A17" s="1273"/>
      <c r="B17" s="1285" t="s">
        <v>221</v>
      </c>
      <c r="C17" s="1286" t="s">
        <v>705</v>
      </c>
      <c r="D17" s="267">
        <f>SUM(6DOCHODY!E643)</f>
        <v>0</v>
      </c>
      <c r="E17" s="267">
        <f>SUM(6DOCHODY!F643)</f>
        <v>0</v>
      </c>
      <c r="F17" s="1277" t="e">
        <f t="shared" si="0"/>
        <v>#DIV/0!</v>
      </c>
      <c r="G17" s="734">
        <f>D17</f>
        <v>0</v>
      </c>
      <c r="H17" s="734">
        <f>SUM('12DiW zlecone'!D71)</f>
        <v>0</v>
      </c>
      <c r="I17" s="1287" t="e">
        <f t="shared" si="3"/>
        <v>#DIV/0!</v>
      </c>
      <c r="J17" s="1270">
        <f t="shared" si="2"/>
        <v>0</v>
      </c>
      <c r="L17" s="1288"/>
      <c r="O17" s="1246" t="s">
        <v>226</v>
      </c>
      <c r="Q17" s="493" t="s">
        <v>1196</v>
      </c>
    </row>
    <row r="18" spans="1:15" ht="30" customHeight="1" hidden="1">
      <c r="A18" s="1273"/>
      <c r="B18" s="1285" t="s">
        <v>222</v>
      </c>
      <c r="C18" s="1286" t="s">
        <v>223</v>
      </c>
      <c r="D18" s="267">
        <f>SUM(6DOCHODY!E649)</f>
        <v>0</v>
      </c>
      <c r="E18" s="267">
        <f>SUM(6DOCHODY!F649)</f>
        <v>0</v>
      </c>
      <c r="F18" s="1277" t="e">
        <f t="shared" si="0"/>
        <v>#DIV/0!</v>
      </c>
      <c r="G18" s="734">
        <f>D18</f>
        <v>0</v>
      </c>
      <c r="H18" s="734">
        <f>SUM('12DiW zlecone'!D73)</f>
        <v>0</v>
      </c>
      <c r="I18" s="1287" t="e">
        <f t="shared" si="3"/>
        <v>#DIV/0!</v>
      </c>
      <c r="J18" s="1270">
        <f t="shared" si="2"/>
        <v>0</v>
      </c>
      <c r="L18" s="1288"/>
      <c r="O18" s="1246" t="s">
        <v>226</v>
      </c>
    </row>
    <row r="19" spans="1:17" ht="19.5" customHeight="1">
      <c r="A19" s="1273"/>
      <c r="B19" s="1285" t="s">
        <v>224</v>
      </c>
      <c r="C19" s="1294" t="s">
        <v>214</v>
      </c>
      <c r="D19" s="267">
        <f>SUM(6DOCHODY!E656,6DOCHODY!E657)</f>
        <v>383000</v>
      </c>
      <c r="E19" s="267">
        <f>SUM(6DOCHODY!F656,6DOCHODY!F657)</f>
        <v>207569.6</v>
      </c>
      <c r="F19" s="1277">
        <f t="shared" si="0"/>
        <v>54.1957180156658</v>
      </c>
      <c r="G19" s="734">
        <f>D19</f>
        <v>383000</v>
      </c>
      <c r="H19" s="734">
        <f>SUM('12DiW zlecone'!D75)</f>
        <v>180600.06</v>
      </c>
      <c r="I19" s="1287">
        <f t="shared" si="3"/>
        <v>47.15406266318538</v>
      </c>
      <c r="J19" s="1270">
        <f t="shared" si="2"/>
        <v>202399.94</v>
      </c>
      <c r="L19" s="1288"/>
      <c r="O19" s="1246" t="s">
        <v>226</v>
      </c>
      <c r="Q19" s="493" t="s">
        <v>1196</v>
      </c>
    </row>
    <row r="20" spans="1:12" ht="19.5" customHeight="1" hidden="1">
      <c r="A20" s="1273"/>
      <c r="B20" s="1285" t="s">
        <v>656</v>
      </c>
      <c r="C20" s="1294" t="s">
        <v>176</v>
      </c>
      <c r="D20" s="267">
        <f>SUM(6DOCHODY!E659)</f>
        <v>0</v>
      </c>
      <c r="E20" s="267">
        <f>SUM(6DOCHODY!F659)</f>
        <v>0</v>
      </c>
      <c r="F20" s="1277" t="e">
        <f t="shared" si="0"/>
        <v>#DIV/0!</v>
      </c>
      <c r="G20" s="734">
        <f>D20</f>
        <v>0</v>
      </c>
      <c r="H20" s="734">
        <f>'12DiW zlecone'!D77</f>
        <v>0</v>
      </c>
      <c r="I20" s="1287" t="e">
        <f t="shared" si="3"/>
        <v>#DIV/0!</v>
      </c>
      <c r="J20" s="1270">
        <f t="shared" si="2"/>
        <v>0</v>
      </c>
      <c r="L20" s="1288"/>
    </row>
    <row r="21" spans="1:15" s="486" customFormat="1" ht="24.75" customHeight="1">
      <c r="A21" s="1269" t="s">
        <v>644</v>
      </c>
      <c r="B21" s="1289"/>
      <c r="C21" s="1290" t="s">
        <v>645</v>
      </c>
      <c r="D21" s="1291">
        <f>SUM(D22,D23,D24)</f>
        <v>456829</v>
      </c>
      <c r="E21" s="1291">
        <f>SUM(E22,E23,E24)</f>
        <v>355915.85</v>
      </c>
      <c r="F21" s="1263">
        <f t="shared" si="0"/>
        <v>77.91008232839859</v>
      </c>
      <c r="G21" s="729">
        <f>SUM(G22,G23,G24)</f>
        <v>456829</v>
      </c>
      <c r="H21" s="729">
        <f>SUM(H22,H23,H24)</f>
        <v>282176.13999999996</v>
      </c>
      <c r="I21" s="1292">
        <f t="shared" si="3"/>
        <v>61.7684385185704</v>
      </c>
      <c r="J21" s="1270">
        <f t="shared" si="2"/>
        <v>174652.86000000004</v>
      </c>
      <c r="K21" s="1266">
        <f>SUM(H22:H24)</f>
        <v>282176.13999999996</v>
      </c>
      <c r="L21" s="1293"/>
      <c r="M21" s="1248"/>
      <c r="N21" s="1248"/>
      <c r="O21" s="1249" t="s">
        <v>831</v>
      </c>
    </row>
    <row r="22" spans="1:17" ht="21" customHeight="1">
      <c r="A22" s="1273"/>
      <c r="B22" s="1285" t="s">
        <v>646</v>
      </c>
      <c r="C22" s="1294" t="s">
        <v>652</v>
      </c>
      <c r="D22" s="267">
        <f>SUM(6DOCHODY!E125,6DOCHODY!E662)</f>
        <v>434829</v>
      </c>
      <c r="E22" s="267">
        <f>SUM(6DOCHODY!F125,6DOCHODY!F662)</f>
        <v>334752</v>
      </c>
      <c r="F22" s="1277">
        <f t="shared" si="0"/>
        <v>76.98474572763087</v>
      </c>
      <c r="G22" s="734">
        <f>D22</f>
        <v>434829</v>
      </c>
      <c r="H22" s="734">
        <f>SUM('12DiW zlecone'!D15,'12DiW zlecone'!D79)</f>
        <v>265976.07999999996</v>
      </c>
      <c r="I22" s="1287">
        <f t="shared" si="3"/>
        <v>61.167971777411346</v>
      </c>
      <c r="J22" s="1270">
        <f t="shared" si="2"/>
        <v>168852.92000000004</v>
      </c>
      <c r="L22" s="1288"/>
      <c r="N22" s="1288">
        <f>L22+M22</f>
        <v>0</v>
      </c>
      <c r="O22" s="1246" t="s">
        <v>337</v>
      </c>
      <c r="Q22" s="493" t="s">
        <v>1193</v>
      </c>
    </row>
    <row r="23" spans="1:17" ht="21" customHeight="1">
      <c r="A23" s="1273"/>
      <c r="B23" s="1285" t="s">
        <v>2</v>
      </c>
      <c r="C23" s="1294" t="s">
        <v>1135</v>
      </c>
      <c r="D23" s="267">
        <f>SUM(6DOCHODY!E670,6DOCHODY!E671)</f>
        <v>22000</v>
      </c>
      <c r="E23" s="267">
        <f>SUM(6DOCHODY!F670,6DOCHODY!F671)</f>
        <v>21163.85</v>
      </c>
      <c r="F23" s="1277">
        <f t="shared" si="0"/>
        <v>96.19931818181817</v>
      </c>
      <c r="G23" s="734">
        <f>D23</f>
        <v>22000</v>
      </c>
      <c r="H23" s="734">
        <f>SUM('12DiW zlecone'!D81)+'13DiW porozumienia'!D25</f>
        <v>16200.06</v>
      </c>
      <c r="I23" s="1287">
        <f t="shared" si="3"/>
        <v>73.63663636363637</v>
      </c>
      <c r="J23" s="1270">
        <f t="shared" si="2"/>
        <v>5799.9400000000005</v>
      </c>
      <c r="L23" s="1288"/>
      <c r="N23" s="1288">
        <f>L23+M23</f>
        <v>0</v>
      </c>
      <c r="O23" s="1246" t="s">
        <v>338</v>
      </c>
      <c r="Q23" s="493" t="s">
        <v>1190</v>
      </c>
    </row>
    <row r="24" spans="1:12" ht="21" customHeight="1" hidden="1">
      <c r="A24" s="1273"/>
      <c r="B24" s="1285" t="s">
        <v>254</v>
      </c>
      <c r="C24" s="73" t="s">
        <v>255</v>
      </c>
      <c r="D24" s="267">
        <f>6DOCHODY!E146</f>
        <v>0</v>
      </c>
      <c r="E24" s="267">
        <f>6DOCHODY!F146</f>
        <v>0</v>
      </c>
      <c r="F24" s="1277" t="e">
        <f t="shared" si="0"/>
        <v>#DIV/0!</v>
      </c>
      <c r="G24" s="734">
        <f>D24</f>
        <v>0</v>
      </c>
      <c r="H24" s="734">
        <f>SUM('12DiW zlecone'!D17)</f>
        <v>0</v>
      </c>
      <c r="I24" s="1287" t="e">
        <f t="shared" si="3"/>
        <v>#DIV/0!</v>
      </c>
      <c r="J24" s="1270">
        <f t="shared" si="2"/>
        <v>0</v>
      </c>
      <c r="L24" s="1288"/>
    </row>
    <row r="25" spans="1:15" s="486" customFormat="1" ht="63" customHeight="1">
      <c r="A25" s="1269" t="s">
        <v>819</v>
      </c>
      <c r="B25" s="1289"/>
      <c r="C25" s="1290" t="s">
        <v>4</v>
      </c>
      <c r="D25" s="1291">
        <f>SUM(D26,D28,D29,D30)</f>
        <v>8280</v>
      </c>
      <c r="E25" s="1291">
        <f>SUM(E26,E28,E29,E30)</f>
        <v>4140</v>
      </c>
      <c r="F25" s="1263">
        <f t="shared" si="0"/>
        <v>50</v>
      </c>
      <c r="G25" s="729">
        <f>SUM(G26,G28,G29,G30)</f>
        <v>8280</v>
      </c>
      <c r="H25" s="729">
        <f>SUM(H26,H28,H29,H30)</f>
        <v>0</v>
      </c>
      <c r="I25" s="1292">
        <f t="shared" si="3"/>
        <v>0</v>
      </c>
      <c r="J25" s="1270">
        <f t="shared" si="2"/>
        <v>8280</v>
      </c>
      <c r="K25" s="1266">
        <f>SUM(H25)</f>
        <v>0</v>
      </c>
      <c r="L25" s="1293"/>
      <c r="M25" s="1248"/>
      <c r="N25" s="1248"/>
      <c r="O25" s="1249" t="s">
        <v>831</v>
      </c>
    </row>
    <row r="26" spans="1:17" ht="39" customHeight="1">
      <c r="A26" s="1295"/>
      <c r="B26" s="1296" t="s">
        <v>777</v>
      </c>
      <c r="C26" s="1286" t="s">
        <v>778</v>
      </c>
      <c r="D26" s="267">
        <f>SUM(6DOCHODY!E171)</f>
        <v>8280</v>
      </c>
      <c r="E26" s="267">
        <f>SUM(6DOCHODY!F171)</f>
        <v>4140</v>
      </c>
      <c r="F26" s="1277">
        <f t="shared" si="0"/>
        <v>50</v>
      </c>
      <c r="G26" s="734">
        <f>D26</f>
        <v>8280</v>
      </c>
      <c r="H26" s="734">
        <f>SUM('12DiW zlecone'!D19)</f>
        <v>0</v>
      </c>
      <c r="I26" s="1287">
        <f t="shared" si="3"/>
        <v>0</v>
      </c>
      <c r="J26" s="1270">
        <f t="shared" si="2"/>
        <v>8280</v>
      </c>
      <c r="L26" s="1288"/>
      <c r="O26" s="1246" t="s">
        <v>336</v>
      </c>
      <c r="Q26" s="493" t="s">
        <v>1192</v>
      </c>
    </row>
    <row r="27" spans="1:12" ht="26.25" customHeight="1" hidden="1">
      <c r="A27" s="1295"/>
      <c r="B27" s="1296" t="s">
        <v>405</v>
      </c>
      <c r="C27" s="1286" t="s">
        <v>1264</v>
      </c>
      <c r="D27" s="267">
        <f>6DOCHODY!E173</f>
        <v>0</v>
      </c>
      <c r="E27" s="267">
        <f>6DOCHODY!F173</f>
        <v>0</v>
      </c>
      <c r="F27" s="1277" t="e">
        <f>E27/D27*100</f>
        <v>#DIV/0!</v>
      </c>
      <c r="G27" s="734">
        <f>D27</f>
        <v>0</v>
      </c>
      <c r="H27" s="734">
        <f>SUM('12DiW zlecone'!D21)</f>
        <v>0</v>
      </c>
      <c r="I27" s="1287" t="e">
        <f>H27/G27*100</f>
        <v>#DIV/0!</v>
      </c>
      <c r="J27" s="1270">
        <f t="shared" si="2"/>
        <v>0</v>
      </c>
      <c r="L27" s="1288"/>
    </row>
    <row r="28" spans="1:12" ht="31.5" customHeight="1" hidden="1">
      <c r="A28" s="1295"/>
      <c r="B28" s="1296" t="s">
        <v>1032</v>
      </c>
      <c r="C28" s="1297" t="s">
        <v>1033</v>
      </c>
      <c r="D28" s="267">
        <f>6DOCHODY!E175</f>
        <v>0</v>
      </c>
      <c r="E28" s="267">
        <f>6DOCHODY!F175</f>
        <v>0</v>
      </c>
      <c r="F28" s="1298" t="e">
        <f>E28/D28*100</f>
        <v>#DIV/0!</v>
      </c>
      <c r="G28" s="734">
        <f>D28</f>
        <v>0</v>
      </c>
      <c r="H28" s="734"/>
      <c r="I28" s="1287" t="e">
        <f>H28/G28*100</f>
        <v>#DIV/0!</v>
      </c>
      <c r="J28" s="1270">
        <f t="shared" si="2"/>
        <v>0</v>
      </c>
      <c r="L28" s="1288"/>
    </row>
    <row r="29" spans="1:15" ht="89.25" customHeight="1" hidden="1">
      <c r="A29" s="1295"/>
      <c r="B29" s="1299" t="s">
        <v>256</v>
      </c>
      <c r="C29" s="1300" t="s">
        <v>257</v>
      </c>
      <c r="D29" s="267">
        <f>6DOCHODY!E177</f>
        <v>0</v>
      </c>
      <c r="E29" s="267">
        <f>6DOCHODY!F177</f>
        <v>0</v>
      </c>
      <c r="F29" s="1298" t="e">
        <f>E29/D29*100</f>
        <v>#DIV/0!</v>
      </c>
      <c r="G29" s="734">
        <f>D29</f>
        <v>0</v>
      </c>
      <c r="H29" s="734">
        <f>'12DiW zlecone'!D25</f>
        <v>0</v>
      </c>
      <c r="I29" s="1287" t="e">
        <f>H29/G29*100</f>
        <v>#DIV/0!</v>
      </c>
      <c r="J29" s="1270">
        <f t="shared" si="2"/>
        <v>0</v>
      </c>
      <c r="K29" s="1301"/>
      <c r="L29" s="1301"/>
      <c r="M29" s="1301"/>
      <c r="N29" s="1301"/>
      <c r="O29" s="1301"/>
    </row>
    <row r="30" spans="1:12" ht="28.5" customHeight="1" hidden="1">
      <c r="A30" s="1295"/>
      <c r="B30" s="1302" t="s">
        <v>1176</v>
      </c>
      <c r="C30" s="73" t="s">
        <v>1177</v>
      </c>
      <c r="D30" s="1276">
        <f>6DOCHODY!E179</f>
        <v>0</v>
      </c>
      <c r="E30" s="1276">
        <f>6DOCHODY!F179</f>
        <v>0</v>
      </c>
      <c r="F30" s="1298" t="e">
        <f>E30/D30*100</f>
        <v>#DIV/0!</v>
      </c>
      <c r="G30" s="734">
        <f>D30</f>
        <v>0</v>
      </c>
      <c r="H30" s="741">
        <f>'12DiW zlecone'!D27</f>
        <v>0</v>
      </c>
      <c r="I30" s="1287" t="e">
        <f>H30/G30*100</f>
        <v>#DIV/0!</v>
      </c>
      <c r="J30" s="1270">
        <f t="shared" si="2"/>
        <v>0</v>
      </c>
      <c r="L30" s="1288"/>
    </row>
    <row r="31" spans="1:15" s="486" customFormat="1" ht="42" customHeight="1">
      <c r="A31" s="1303" t="s">
        <v>5</v>
      </c>
      <c r="B31" s="1304"/>
      <c r="C31" s="1290" t="s">
        <v>84</v>
      </c>
      <c r="D31" s="1291">
        <f>SUM(D32,D33,D34)</f>
        <v>5625211</v>
      </c>
      <c r="E31" s="1291">
        <f>SUM(E32,E33,E34)</f>
        <v>3441969</v>
      </c>
      <c r="F31" s="1263">
        <f t="shared" si="0"/>
        <v>61.18826476020188</v>
      </c>
      <c r="G31" s="729">
        <f>SUM(G32,G33,G34)</f>
        <v>5625211</v>
      </c>
      <c r="H31" s="729">
        <f>SUM(H32,H33,H34)</f>
        <v>2956803.83</v>
      </c>
      <c r="I31" s="1292">
        <f t="shared" si="3"/>
        <v>52.56342970957001</v>
      </c>
      <c r="J31" s="1270">
        <f t="shared" si="2"/>
        <v>2668407.17</v>
      </c>
      <c r="K31" s="1266">
        <f>SUM(H31)</f>
        <v>2956803.83</v>
      </c>
      <c r="L31" s="1293"/>
      <c r="M31" s="1248"/>
      <c r="N31" s="1248"/>
      <c r="O31" s="1249" t="s">
        <v>831</v>
      </c>
    </row>
    <row r="32" spans="1:17" ht="26.25" customHeight="1">
      <c r="A32" s="1295"/>
      <c r="B32" s="1296" t="s">
        <v>6</v>
      </c>
      <c r="C32" s="1286" t="s">
        <v>317</v>
      </c>
      <c r="D32" s="267">
        <f>SUM(6DOCHODY!E675,6DOCHODY!E677)</f>
        <v>5625211</v>
      </c>
      <c r="E32" s="267">
        <f>SUM(6DOCHODY!F675,6DOCHODY!F677)</f>
        <v>3441969</v>
      </c>
      <c r="F32" s="1277">
        <f t="shared" si="0"/>
        <v>61.18826476020188</v>
      </c>
      <c r="G32" s="734">
        <f>D32</f>
        <v>5625211</v>
      </c>
      <c r="H32" s="734">
        <f>SUM('12DiW zlecone'!D83)</f>
        <v>2956803.83</v>
      </c>
      <c r="I32" s="1287">
        <f t="shared" si="3"/>
        <v>52.56342970957001</v>
      </c>
      <c r="J32" s="1270">
        <f t="shared" si="2"/>
        <v>2668407.17</v>
      </c>
      <c r="L32" s="1288"/>
      <c r="O32" s="1246" t="s">
        <v>226</v>
      </c>
      <c r="Q32" s="493" t="s">
        <v>1196</v>
      </c>
    </row>
    <row r="33" spans="1:15" ht="20.25" customHeight="1" hidden="1">
      <c r="A33" s="1273"/>
      <c r="B33" s="1285" t="s">
        <v>7</v>
      </c>
      <c r="C33" s="1294" t="s">
        <v>8</v>
      </c>
      <c r="D33" s="267">
        <f>SUM(6DOCHODY!E198)</f>
        <v>0</v>
      </c>
      <c r="E33" s="267">
        <f>SUM(6DOCHODY!F198)</f>
        <v>0</v>
      </c>
      <c r="F33" s="1277" t="e">
        <f t="shared" si="0"/>
        <v>#DIV/0!</v>
      </c>
      <c r="G33" s="734">
        <f>D33</f>
        <v>0</v>
      </c>
      <c r="H33" s="734">
        <v>0</v>
      </c>
      <c r="I33" s="1287" t="e">
        <f t="shared" si="3"/>
        <v>#DIV/0!</v>
      </c>
      <c r="J33" s="1270">
        <f t="shared" si="2"/>
        <v>0</v>
      </c>
      <c r="L33" s="1288"/>
      <c r="O33" s="1246" t="s">
        <v>226</v>
      </c>
    </row>
    <row r="34" spans="1:17" ht="24.75" customHeight="1" hidden="1">
      <c r="A34" s="1273"/>
      <c r="B34" s="1285" t="s">
        <v>1114</v>
      </c>
      <c r="C34" s="1286" t="s">
        <v>1115</v>
      </c>
      <c r="D34" s="267">
        <f>6DOCHODY!E679</f>
        <v>0</v>
      </c>
      <c r="E34" s="267">
        <f>6DOCHODY!F679</f>
        <v>0</v>
      </c>
      <c r="F34" s="1277" t="e">
        <f t="shared" si="0"/>
        <v>#DIV/0!</v>
      </c>
      <c r="G34" s="734">
        <f>D34</f>
        <v>0</v>
      </c>
      <c r="H34" s="734">
        <f>SUM('12DiW zlecone'!D85)</f>
        <v>0</v>
      </c>
      <c r="I34" s="1287" t="e">
        <f t="shared" si="3"/>
        <v>#DIV/0!</v>
      </c>
      <c r="J34" s="1270">
        <f t="shared" si="2"/>
        <v>0</v>
      </c>
      <c r="L34" s="1288"/>
      <c r="O34" s="1246" t="s">
        <v>226</v>
      </c>
      <c r="Q34" s="493" t="s">
        <v>1196</v>
      </c>
    </row>
    <row r="35" spans="1:15" s="486" customFormat="1" ht="24.75" customHeight="1">
      <c r="A35" s="1269" t="s">
        <v>1320</v>
      </c>
      <c r="B35" s="1305"/>
      <c r="C35" s="1290" t="s">
        <v>1331</v>
      </c>
      <c r="D35" s="1291">
        <f>SUM(D36)</f>
        <v>125208</v>
      </c>
      <c r="E35" s="1291">
        <f>SUM(E36)</f>
        <v>62604</v>
      </c>
      <c r="F35" s="1263">
        <f t="shared" si="0"/>
        <v>50</v>
      </c>
      <c r="G35" s="729">
        <f>SUM(G36)</f>
        <v>125208</v>
      </c>
      <c r="H35" s="729">
        <f>SUM(H36)</f>
        <v>57039.45</v>
      </c>
      <c r="I35" s="1292">
        <f t="shared" si="3"/>
        <v>45.55575522330842</v>
      </c>
      <c r="J35" s="1270">
        <f t="shared" si="2"/>
        <v>68168.55</v>
      </c>
      <c r="K35" s="1247"/>
      <c r="L35" s="1293"/>
      <c r="M35" s="1248"/>
      <c r="N35" s="1248"/>
      <c r="O35" s="1249"/>
    </row>
    <row r="36" spans="1:12" ht="24.75" customHeight="1">
      <c r="A36" s="1273"/>
      <c r="B36" s="1306" t="s">
        <v>1321</v>
      </c>
      <c r="C36" s="1307" t="s">
        <v>1371</v>
      </c>
      <c r="D36" s="267">
        <f>6DOCHODY!E685</f>
        <v>125208</v>
      </c>
      <c r="E36" s="267">
        <f>6DOCHODY!F685</f>
        <v>62604</v>
      </c>
      <c r="F36" s="1277">
        <f t="shared" si="0"/>
        <v>50</v>
      </c>
      <c r="G36" s="734">
        <f>D36</f>
        <v>125208</v>
      </c>
      <c r="H36" s="734">
        <f>'12DiW zlecone'!D87</f>
        <v>57039.45</v>
      </c>
      <c r="I36" s="1287">
        <f t="shared" si="3"/>
        <v>45.55575522330842</v>
      </c>
      <c r="J36" s="1270">
        <f t="shared" si="2"/>
        <v>68168.55</v>
      </c>
      <c r="L36" s="1288"/>
    </row>
    <row r="37" spans="1:15" s="486" customFormat="1" ht="21.75" customHeight="1">
      <c r="A37" s="1269" t="s">
        <v>12</v>
      </c>
      <c r="B37" s="1260"/>
      <c r="C37" s="1308" t="s">
        <v>13</v>
      </c>
      <c r="D37" s="1291">
        <f>SUM(D38:D45)</f>
        <v>1205356</v>
      </c>
      <c r="E37" s="1291">
        <f>SUM(E38:E45)</f>
        <v>628678</v>
      </c>
      <c r="F37" s="1263">
        <f t="shared" si="0"/>
        <v>52.15703908222965</v>
      </c>
      <c r="G37" s="729">
        <f>SUM(G38:G45)</f>
        <v>1205356</v>
      </c>
      <c r="H37" s="729">
        <f>SUM(H38:H45)</f>
        <v>628678</v>
      </c>
      <c r="I37" s="1292">
        <f t="shared" si="3"/>
        <v>52.15703908222965</v>
      </c>
      <c r="J37" s="1270">
        <f t="shared" si="2"/>
        <v>576678</v>
      </c>
      <c r="K37" s="1247"/>
      <c r="L37" s="1293"/>
      <c r="M37" s="1248"/>
      <c r="N37" s="1248"/>
      <c r="O37" s="1249" t="s">
        <v>831</v>
      </c>
    </row>
    <row r="38" spans="1:17" ht="20.25" customHeight="1">
      <c r="A38" s="1273"/>
      <c r="B38" s="1285" t="s">
        <v>14</v>
      </c>
      <c r="C38" s="1294" t="s">
        <v>15</v>
      </c>
      <c r="D38" s="267">
        <f>SUM(6DOCHODY!E286,6DOCHODY!E287,6DOCHODY!E293)</f>
        <v>12000</v>
      </c>
      <c r="E38" s="267">
        <f>SUM(6DOCHODY!F286,6DOCHODY!F287,6DOCHODY!F293)</f>
        <v>12000</v>
      </c>
      <c r="F38" s="1277">
        <f t="shared" si="0"/>
        <v>100</v>
      </c>
      <c r="G38" s="734">
        <f aca="true" t="shared" si="4" ref="G38:G45">D38</f>
        <v>12000</v>
      </c>
      <c r="H38" s="734">
        <f>'12DiW zlecone'!D29+12000</f>
        <v>12000</v>
      </c>
      <c r="I38" s="1287">
        <f t="shared" si="3"/>
        <v>100</v>
      </c>
      <c r="J38" s="1270">
        <f t="shared" si="2"/>
        <v>0</v>
      </c>
      <c r="L38" s="1288"/>
      <c r="M38" s="1245">
        <v>0</v>
      </c>
      <c r="N38" s="1288">
        <f>L38+M38</f>
        <v>0</v>
      </c>
      <c r="O38" s="1246" t="s">
        <v>1339</v>
      </c>
      <c r="Q38" s="493" t="s">
        <v>1192</v>
      </c>
    </row>
    <row r="39" spans="1:17" ht="20.25" customHeight="1" hidden="1">
      <c r="A39" s="1273"/>
      <c r="B39" s="1285" t="s">
        <v>1133</v>
      </c>
      <c r="C39" s="1294" t="s">
        <v>1134</v>
      </c>
      <c r="D39" s="267">
        <f>6DOCHODY!E716</f>
        <v>0</v>
      </c>
      <c r="E39" s="267">
        <f>6DOCHODY!F716</f>
        <v>0</v>
      </c>
      <c r="F39" s="1277" t="e">
        <f>E39/D39*100</f>
        <v>#DIV/0!</v>
      </c>
      <c r="G39" s="734">
        <f t="shared" si="4"/>
        <v>0</v>
      </c>
      <c r="H39" s="734">
        <f>'12DiW zlecone'!D89</f>
        <v>0</v>
      </c>
      <c r="I39" s="1287" t="e">
        <f>H39/G39*100</f>
        <v>#DIV/0!</v>
      </c>
      <c r="J39" s="1270">
        <f t="shared" si="2"/>
        <v>0</v>
      </c>
      <c r="L39" s="1288"/>
      <c r="N39" s="1288"/>
      <c r="O39" s="1246" t="s">
        <v>1340</v>
      </c>
      <c r="Q39" s="493" t="s">
        <v>1196</v>
      </c>
    </row>
    <row r="40" spans="1:17" ht="20.25" customHeight="1">
      <c r="A40" s="1273"/>
      <c r="B40" s="1285" t="s">
        <v>1136</v>
      </c>
      <c r="C40" s="1294" t="s">
        <v>1137</v>
      </c>
      <c r="D40" s="267">
        <f>SUM(6DOCHODY!E301)</f>
        <v>1153356</v>
      </c>
      <c r="E40" s="267">
        <f>SUM(6DOCHODY!F301)</f>
        <v>576678</v>
      </c>
      <c r="F40" s="1277">
        <f t="shared" si="0"/>
        <v>50</v>
      </c>
      <c r="G40" s="734">
        <f t="shared" si="4"/>
        <v>1153356</v>
      </c>
      <c r="H40" s="734">
        <f>E40</f>
        <v>576678</v>
      </c>
      <c r="I40" s="1309">
        <f t="shared" si="3"/>
        <v>50</v>
      </c>
      <c r="J40" s="1270">
        <f t="shared" si="2"/>
        <v>576678</v>
      </c>
      <c r="L40" s="1288"/>
      <c r="N40" s="1288"/>
      <c r="O40" s="1246" t="s">
        <v>1341</v>
      </c>
      <c r="Q40" s="493" t="s">
        <v>1195</v>
      </c>
    </row>
    <row r="41" spans="1:15" ht="20.25" customHeight="1">
      <c r="A41" s="1273"/>
      <c r="B41" s="1285" t="s">
        <v>16</v>
      </c>
      <c r="C41" s="1294" t="s">
        <v>17</v>
      </c>
      <c r="D41" s="267">
        <f>6DOCHODY!E308+6DOCHODY!E309</f>
        <v>15200</v>
      </c>
      <c r="E41" s="267">
        <f>6DOCHODY!F308+6DOCHODY!F309</f>
        <v>15200</v>
      </c>
      <c r="F41" s="1277">
        <f t="shared" si="0"/>
        <v>100</v>
      </c>
      <c r="G41" s="734">
        <f t="shared" si="4"/>
        <v>15200</v>
      </c>
      <c r="H41" s="734">
        <f>'12DiW zlecone'!D31+6DOCHODY!F309</f>
        <v>15200</v>
      </c>
      <c r="I41" s="1309">
        <f t="shared" si="3"/>
        <v>100</v>
      </c>
      <c r="J41" s="1270">
        <f t="shared" si="2"/>
        <v>0</v>
      </c>
      <c r="L41" s="1288"/>
      <c r="N41" s="1288"/>
      <c r="O41" s="1246" t="s">
        <v>1339</v>
      </c>
    </row>
    <row r="42" spans="1:14" ht="20.25" customHeight="1" hidden="1">
      <c r="A42" s="1273"/>
      <c r="B42" s="1285" t="s">
        <v>1140</v>
      </c>
      <c r="C42" s="1310" t="str">
        <f>6DOCHODY!D719</f>
        <v>Gimnazja specjalne</v>
      </c>
      <c r="D42" s="267">
        <f>6DOCHODY!E720</f>
        <v>0</v>
      </c>
      <c r="E42" s="267">
        <f>6DOCHODY!F720</f>
        <v>0</v>
      </c>
      <c r="F42" s="1277" t="e">
        <f t="shared" si="0"/>
        <v>#DIV/0!</v>
      </c>
      <c r="G42" s="734">
        <f t="shared" si="4"/>
        <v>0</v>
      </c>
      <c r="H42" s="734">
        <f>'12DiW zlecone'!D91</f>
        <v>0</v>
      </c>
      <c r="I42" s="1309" t="e">
        <f t="shared" si="3"/>
        <v>#DIV/0!</v>
      </c>
      <c r="J42" s="1270">
        <f t="shared" si="2"/>
        <v>0</v>
      </c>
      <c r="L42" s="1288"/>
      <c r="N42" s="1288"/>
    </row>
    <row r="43" spans="1:15" ht="20.25" customHeight="1">
      <c r="A43" s="1273"/>
      <c r="B43" s="1285" t="s">
        <v>18</v>
      </c>
      <c r="C43" s="1310" t="s">
        <v>277</v>
      </c>
      <c r="D43" s="267">
        <f>6DOCHODY!E724</f>
        <v>12800</v>
      </c>
      <c r="E43" s="267">
        <f>6DOCHODY!F724</f>
        <v>12800</v>
      </c>
      <c r="F43" s="1277">
        <f>E43/D43*100</f>
        <v>100</v>
      </c>
      <c r="G43" s="734">
        <f>D43</f>
        <v>12800</v>
      </c>
      <c r="H43" s="734">
        <f>E43</f>
        <v>12800</v>
      </c>
      <c r="I43" s="1309">
        <f>H43/G43*100</f>
        <v>100</v>
      </c>
      <c r="J43" s="1270">
        <f t="shared" si="2"/>
        <v>0</v>
      </c>
      <c r="L43" s="1288"/>
      <c r="N43" s="1288"/>
      <c r="O43" s="1246" t="s">
        <v>1579</v>
      </c>
    </row>
    <row r="44" spans="1:14" ht="18" customHeight="1">
      <c r="A44" s="1273"/>
      <c r="B44" s="1285" t="s">
        <v>19</v>
      </c>
      <c r="C44" s="1311" t="s">
        <v>20</v>
      </c>
      <c r="D44" s="267">
        <v>12000</v>
      </c>
      <c r="E44" s="267">
        <v>12000</v>
      </c>
      <c r="F44" s="1277">
        <f t="shared" si="0"/>
        <v>100</v>
      </c>
      <c r="G44" s="734">
        <f t="shared" si="4"/>
        <v>12000</v>
      </c>
      <c r="H44" s="734">
        <f>E44</f>
        <v>12000</v>
      </c>
      <c r="I44" s="1309">
        <f t="shared" si="3"/>
        <v>100</v>
      </c>
      <c r="J44" s="1270">
        <f t="shared" si="2"/>
        <v>0</v>
      </c>
      <c r="K44" s="1316" t="s">
        <v>1407</v>
      </c>
      <c r="L44" s="1288"/>
      <c r="N44" s="1288"/>
    </row>
    <row r="45" spans="1:17" ht="20.25" customHeight="1" hidden="1">
      <c r="A45" s="1273"/>
      <c r="B45" s="1285" t="s">
        <v>1149</v>
      </c>
      <c r="C45" s="1294" t="s">
        <v>176</v>
      </c>
      <c r="D45" s="267">
        <f>SUM(6DOCHODY!E322,6DOCHODY!E323,6DOCHODY!E324,6DOCHODY!E329,6DOCHODY!E740,6DOCHODY!E741)</f>
        <v>0</v>
      </c>
      <c r="E45" s="267">
        <f>SUM(6DOCHODY!F322,6DOCHODY!F323,6DOCHODY!F324,6DOCHODY!F329,6DOCHODY!F740,6DOCHODY!F741)</f>
        <v>0</v>
      </c>
      <c r="F45" s="1277" t="e">
        <f t="shared" si="0"/>
        <v>#DIV/0!</v>
      </c>
      <c r="G45" s="734">
        <f t="shared" si="4"/>
        <v>0</v>
      </c>
      <c r="H45" s="734">
        <f>'13DiW porozumienia'!D17+6DOCHODY!F324</f>
        <v>0</v>
      </c>
      <c r="I45" s="1287" t="e">
        <f t="shared" si="3"/>
        <v>#DIV/0!</v>
      </c>
      <c r="J45" s="1270">
        <f t="shared" si="2"/>
        <v>0</v>
      </c>
      <c r="L45" s="1288"/>
      <c r="O45" s="1246" t="s">
        <v>229</v>
      </c>
      <c r="Q45" s="493" t="s">
        <v>1189</v>
      </c>
    </row>
    <row r="46" spans="1:15" s="486" customFormat="1" ht="20.25" customHeight="1">
      <c r="A46" s="1269" t="s">
        <v>21</v>
      </c>
      <c r="B46" s="1289"/>
      <c r="C46" s="1312" t="s">
        <v>22</v>
      </c>
      <c r="D46" s="1291">
        <f>SUM(D47,D48)</f>
        <v>645488</v>
      </c>
      <c r="E46" s="1291">
        <f>SUM(E47,E48)</f>
        <v>304240</v>
      </c>
      <c r="F46" s="1263">
        <f t="shared" si="0"/>
        <v>47.133331680836825</v>
      </c>
      <c r="G46" s="729">
        <f>SUM(G47,G48)</f>
        <v>645488</v>
      </c>
      <c r="H46" s="729">
        <f>SUM(H47,H48)</f>
        <v>301300.14999999997</v>
      </c>
      <c r="I46" s="1292">
        <f t="shared" si="3"/>
        <v>46.67788556874798</v>
      </c>
      <c r="J46" s="1270">
        <f t="shared" si="2"/>
        <v>344187.85000000003</v>
      </c>
      <c r="K46" s="1266">
        <f>SUM(H47:H48)</f>
        <v>301300.14999999997</v>
      </c>
      <c r="L46" s="1293"/>
      <c r="M46" s="1248"/>
      <c r="N46" s="1248"/>
      <c r="O46" s="1249" t="s">
        <v>831</v>
      </c>
    </row>
    <row r="47" spans="1:17" ht="48.75" customHeight="1">
      <c r="A47" s="1295"/>
      <c r="B47" s="1296" t="s">
        <v>810</v>
      </c>
      <c r="C47" s="1286" t="s">
        <v>1075</v>
      </c>
      <c r="D47" s="267">
        <f>SUM(6DOCHODY!E751)</f>
        <v>635000</v>
      </c>
      <c r="E47" s="267">
        <f>SUM(6DOCHODY!F751)</f>
        <v>298996</v>
      </c>
      <c r="F47" s="1277">
        <f t="shared" si="0"/>
        <v>47.085984251968505</v>
      </c>
      <c r="G47" s="734">
        <f>D47</f>
        <v>635000</v>
      </c>
      <c r="H47" s="734">
        <f>SUM('12DiW zlecone'!D93)</f>
        <v>296106.54</v>
      </c>
      <c r="I47" s="1287">
        <f t="shared" si="3"/>
        <v>46.63095118110236</v>
      </c>
      <c r="J47" s="1270">
        <f t="shared" si="2"/>
        <v>338893.46</v>
      </c>
      <c r="L47" s="1288"/>
      <c r="O47" s="1246" t="s">
        <v>226</v>
      </c>
      <c r="Q47" s="493" t="s">
        <v>1196</v>
      </c>
    </row>
    <row r="48" spans="1:17" ht="21" customHeight="1">
      <c r="A48" s="1295"/>
      <c r="B48" s="1296" t="s">
        <v>521</v>
      </c>
      <c r="C48" s="1286" t="s">
        <v>176</v>
      </c>
      <c r="D48" s="267">
        <f>SUM(6DOCHODY!E349,6DOCHODY!E350,6DOCHODY!E755)</f>
        <v>10488</v>
      </c>
      <c r="E48" s="267">
        <f>SUM(6DOCHODY!F349,6DOCHODY!F350,6DOCHODY!F755)</f>
        <v>5244</v>
      </c>
      <c r="F48" s="1277">
        <f t="shared" si="0"/>
        <v>50</v>
      </c>
      <c r="G48" s="734">
        <f>D48</f>
        <v>10488</v>
      </c>
      <c r="H48" s="734">
        <f>SUM('12DiW zlecone'!D35)</f>
        <v>5193.610000000001</v>
      </c>
      <c r="I48" s="1287">
        <f t="shared" si="3"/>
        <v>49.51954614797865</v>
      </c>
      <c r="J48" s="1270">
        <f t="shared" si="2"/>
        <v>5294.389999999999</v>
      </c>
      <c r="L48" s="1288"/>
      <c r="O48" s="1246" t="s">
        <v>336</v>
      </c>
      <c r="Q48" s="493" t="s">
        <v>1198</v>
      </c>
    </row>
    <row r="49" spans="1:15" s="486" customFormat="1" ht="21" customHeight="1">
      <c r="A49" s="1303" t="s">
        <v>440</v>
      </c>
      <c r="B49" s="1319"/>
      <c r="C49" s="1261" t="s">
        <v>451</v>
      </c>
      <c r="D49" s="1262">
        <f>SUM(D50,D51,D52,D53,D54,D55,D56,D57,D58,D59,D60,D61,D62,D63,D64,D65,D66)</f>
        <v>2792090.41</v>
      </c>
      <c r="E49" s="1262">
        <f>SUM(E50,E51,E52,E53,E54,E55,E56,E57,E58,E59,E60,E61,E62,E63,E64,E65,E66)</f>
        <v>1792788.67</v>
      </c>
      <c r="F49" s="1263">
        <f t="shared" si="0"/>
        <v>64.20954936054524</v>
      </c>
      <c r="G49" s="1262">
        <f>SUM(G50,G51,G52,G53,G54,G55,G56,G57,G58,G59,G60,G61,G62,G63,G64,G65,G66)</f>
        <v>2792090.41</v>
      </c>
      <c r="H49" s="1262">
        <f>SUM(H50,H51,H52,H53,H54,H55,H56,H57,H58,H59,H60,H61,H62,H63,H64,H65,H66)</f>
        <v>1670018.13</v>
      </c>
      <c r="I49" s="1265">
        <f t="shared" si="3"/>
        <v>59.81246610133945</v>
      </c>
      <c r="J49" s="1270">
        <f t="shared" si="2"/>
        <v>1122072.2800000003</v>
      </c>
      <c r="K49" s="1266">
        <f>SUM(H50:H66)</f>
        <v>1670018.13</v>
      </c>
      <c r="L49" s="1293"/>
      <c r="M49" s="1248"/>
      <c r="N49" s="1248"/>
      <c r="O49" s="1249" t="s">
        <v>831</v>
      </c>
    </row>
    <row r="50" spans="1:17" ht="19.5" customHeight="1">
      <c r="A50" s="1295"/>
      <c r="B50" s="1302" t="s">
        <v>452</v>
      </c>
      <c r="C50" s="1275" t="s">
        <v>247</v>
      </c>
      <c r="D50" s="1276">
        <f>SUM(6DOCHODY!E366,6DOCHODY!E765)</f>
        <v>289104</v>
      </c>
      <c r="E50" s="1276">
        <f>SUM(6DOCHODY!F366,6DOCHODY!F765)</f>
        <v>134408</v>
      </c>
      <c r="F50" s="1277">
        <f t="shared" si="0"/>
        <v>46.49122807017544</v>
      </c>
      <c r="G50" s="741">
        <f aca="true" t="shared" si="5" ref="G50:G66">D50</f>
        <v>289104</v>
      </c>
      <c r="H50" s="741">
        <f>SUM('12DiW zlecone'!D37)</f>
        <v>134408</v>
      </c>
      <c r="I50" s="1278">
        <f t="shared" si="3"/>
        <v>46.49122807017544</v>
      </c>
      <c r="J50" s="1270">
        <f t="shared" si="2"/>
        <v>154696</v>
      </c>
      <c r="L50" s="1288"/>
      <c r="O50" s="1246" t="s">
        <v>336</v>
      </c>
      <c r="Q50" s="493" t="s">
        <v>1192</v>
      </c>
    </row>
    <row r="51" spans="1:17" ht="19.5" customHeight="1" hidden="1">
      <c r="A51" s="1295"/>
      <c r="B51" s="1302" t="s">
        <v>526</v>
      </c>
      <c r="C51" s="1275" t="s">
        <v>527</v>
      </c>
      <c r="D51" s="1276">
        <f>SUM(6DOCHODY!E771,6DOCHODY!E772,6DOCHODY!E773)</f>
        <v>0</v>
      </c>
      <c r="E51" s="1276">
        <f>SUM(6DOCHODY!F771,6DOCHODY!F772,6DOCHODY!F773)</f>
        <v>0</v>
      </c>
      <c r="F51" s="1277" t="e">
        <f t="shared" si="0"/>
        <v>#DIV/0!</v>
      </c>
      <c r="G51" s="741">
        <f t="shared" si="5"/>
        <v>0</v>
      </c>
      <c r="H51" s="741">
        <f>'12DiW zlecone'!D95+6DOCHODY!F771+6DOCHODY!F772</f>
        <v>0</v>
      </c>
      <c r="I51" s="1278" t="e">
        <f t="shared" si="3"/>
        <v>#DIV/0!</v>
      </c>
      <c r="J51" s="1270">
        <f t="shared" si="2"/>
        <v>0</v>
      </c>
      <c r="L51" s="1288"/>
      <c r="O51" s="1246" t="s">
        <v>1342</v>
      </c>
      <c r="Q51" s="493" t="s">
        <v>1191</v>
      </c>
    </row>
    <row r="52" spans="1:17" ht="37.5" customHeight="1">
      <c r="A52" s="1295"/>
      <c r="B52" s="1299" t="s">
        <v>416</v>
      </c>
      <c r="C52" s="1307" t="s">
        <v>987</v>
      </c>
      <c r="D52" s="267">
        <f>SUM(6DOCHODY!E778)</f>
        <v>379268</v>
      </c>
      <c r="E52" s="1276">
        <f>SUM(6DOCHODY!F778)</f>
        <v>192768</v>
      </c>
      <c r="F52" s="1277">
        <f t="shared" si="0"/>
        <v>50.82632861195777</v>
      </c>
      <c r="G52" s="741">
        <f t="shared" si="5"/>
        <v>379268</v>
      </c>
      <c r="H52" s="741">
        <f>SUM('12DiW zlecone'!D97)</f>
        <v>174286.6</v>
      </c>
      <c r="I52" s="1278">
        <f t="shared" si="3"/>
        <v>45.953415526751535</v>
      </c>
      <c r="J52" s="1270">
        <f t="shared" si="2"/>
        <v>204981.4</v>
      </c>
      <c r="L52" s="1288"/>
      <c r="O52" s="1246" t="s">
        <v>226</v>
      </c>
      <c r="Q52" s="493" t="s">
        <v>1196</v>
      </c>
    </row>
    <row r="53" spans="1:17" ht="24" customHeight="1" hidden="1">
      <c r="A53" s="1295"/>
      <c r="B53" s="1302" t="s">
        <v>164</v>
      </c>
      <c r="C53" s="1313" t="s">
        <v>165</v>
      </c>
      <c r="D53" s="1276">
        <f>6DOCHODY!E375</f>
        <v>0</v>
      </c>
      <c r="E53" s="1276">
        <f>6DOCHODY!F375</f>
        <v>0</v>
      </c>
      <c r="F53" s="1277" t="e">
        <f>E53/D53*100</f>
        <v>#DIV/0!</v>
      </c>
      <c r="G53" s="741">
        <f>D53</f>
        <v>0</v>
      </c>
      <c r="H53" s="741">
        <f>6DOCHODY!F375</f>
        <v>0</v>
      </c>
      <c r="I53" s="1278" t="e">
        <f t="shared" si="3"/>
        <v>#DIV/0!</v>
      </c>
      <c r="J53" s="1270">
        <f t="shared" si="2"/>
        <v>0</v>
      </c>
      <c r="L53" s="1288"/>
      <c r="O53" s="1246" t="s">
        <v>335</v>
      </c>
      <c r="Q53" s="493" t="s">
        <v>1195</v>
      </c>
    </row>
    <row r="54" spans="1:15" ht="24" customHeight="1" hidden="1">
      <c r="A54" s="1295"/>
      <c r="B54" s="1302" t="s">
        <v>1316</v>
      </c>
      <c r="C54" s="1314" t="s">
        <v>1318</v>
      </c>
      <c r="D54" s="1276">
        <f>6DOCHODY!E378</f>
        <v>0</v>
      </c>
      <c r="E54" s="1276">
        <f>6DOCHODY!F378</f>
        <v>0</v>
      </c>
      <c r="F54" s="1277" t="e">
        <f>E54/D54*100</f>
        <v>#DIV/0!</v>
      </c>
      <c r="G54" s="741">
        <f>D54</f>
        <v>0</v>
      </c>
      <c r="H54" s="741">
        <f>'12DiW zlecone'!D39</f>
        <v>0</v>
      </c>
      <c r="I54" s="1278" t="e">
        <f t="shared" si="3"/>
        <v>#DIV/0!</v>
      </c>
      <c r="J54" s="1270">
        <f t="shared" si="2"/>
        <v>0</v>
      </c>
      <c r="L54" s="1288"/>
      <c r="O54" s="1246" t="s">
        <v>1339</v>
      </c>
    </row>
    <row r="55" spans="1:17" ht="75" customHeight="1" hidden="1">
      <c r="A55" s="1295"/>
      <c r="B55" s="1296" t="s">
        <v>442</v>
      </c>
      <c r="C55" s="1315" t="s">
        <v>854</v>
      </c>
      <c r="D55" s="267">
        <f>SUM(6DOCHODY!E384)</f>
        <v>0</v>
      </c>
      <c r="E55" s="267">
        <f>SUM(6DOCHODY!F384)</f>
        <v>0</v>
      </c>
      <c r="F55" s="1298" t="e">
        <f t="shared" si="0"/>
        <v>#DIV/0!</v>
      </c>
      <c r="G55" s="734">
        <f t="shared" si="5"/>
        <v>0</v>
      </c>
      <c r="H55" s="734">
        <f>SUM('12DiW zlecone'!D41)</f>
        <v>0</v>
      </c>
      <c r="I55" s="1287" t="e">
        <f t="shared" si="3"/>
        <v>#DIV/0!</v>
      </c>
      <c r="J55" s="1270">
        <f t="shared" si="2"/>
        <v>0</v>
      </c>
      <c r="L55" s="1288"/>
      <c r="O55" s="1246" t="s">
        <v>336</v>
      </c>
      <c r="Q55" s="493" t="s">
        <v>1192</v>
      </c>
    </row>
    <row r="56" spans="1:17" ht="87" customHeight="1">
      <c r="A56" s="1295"/>
      <c r="B56" s="1302" t="s">
        <v>443</v>
      </c>
      <c r="C56" s="1275" t="s">
        <v>891</v>
      </c>
      <c r="D56" s="1276">
        <f>SUM(6DOCHODY!E389,6DOCHODY!E390)</f>
        <v>190000</v>
      </c>
      <c r="E56" s="1276">
        <f>SUM(6DOCHODY!F389,6DOCHODY!F390)</f>
        <v>117498</v>
      </c>
      <c r="F56" s="1277">
        <f t="shared" si="0"/>
        <v>61.841052631578954</v>
      </c>
      <c r="G56" s="741">
        <f t="shared" si="5"/>
        <v>190000</v>
      </c>
      <c r="H56" s="741">
        <v>111242.22</v>
      </c>
      <c r="I56" s="1278">
        <f t="shared" si="3"/>
        <v>58.54853684210526</v>
      </c>
      <c r="J56" s="1270">
        <f t="shared" si="2"/>
        <v>78757.78</v>
      </c>
      <c r="K56" s="1316" t="s">
        <v>1407</v>
      </c>
      <c r="L56" s="1288"/>
      <c r="M56" s="1245">
        <v>14345.76</v>
      </c>
      <c r="N56" s="1288">
        <f>L56+M56</f>
        <v>14345.76</v>
      </c>
      <c r="O56" s="1246" t="s">
        <v>886</v>
      </c>
      <c r="Q56" s="493" t="s">
        <v>1194</v>
      </c>
    </row>
    <row r="57" spans="1:17" ht="37.5" customHeight="1">
      <c r="A57" s="1295"/>
      <c r="B57" s="1296" t="s">
        <v>444</v>
      </c>
      <c r="C57" s="1286" t="s">
        <v>368</v>
      </c>
      <c r="D57" s="267">
        <f>SUM(6DOCHODY!E396,6DOCHODY!E397)</f>
        <v>152000</v>
      </c>
      <c r="E57" s="267">
        <f>SUM(6DOCHODY!F396,6DOCHODY!F397)</f>
        <v>114000</v>
      </c>
      <c r="F57" s="1277">
        <f t="shared" si="0"/>
        <v>75</v>
      </c>
      <c r="G57" s="734">
        <f t="shared" si="5"/>
        <v>152000</v>
      </c>
      <c r="H57" s="734">
        <f>6DOCHODY!F397</f>
        <v>114000</v>
      </c>
      <c r="I57" s="1287">
        <f t="shared" si="3"/>
        <v>75</v>
      </c>
      <c r="J57" s="1270">
        <f t="shared" si="2"/>
        <v>38000</v>
      </c>
      <c r="L57" s="1288"/>
      <c r="M57" s="1245">
        <v>0</v>
      </c>
      <c r="N57" s="1288">
        <f>L57+M57</f>
        <v>0</v>
      </c>
      <c r="O57" s="1246" t="s">
        <v>335</v>
      </c>
      <c r="Q57" s="493" t="s">
        <v>1195</v>
      </c>
    </row>
    <row r="58" spans="1:17" ht="24" customHeight="1">
      <c r="A58" s="1295"/>
      <c r="B58" s="1296" t="s">
        <v>445</v>
      </c>
      <c r="C58" s="1286" t="s">
        <v>30</v>
      </c>
      <c r="D58" s="267">
        <f>6DOCHODY!E401</f>
        <v>20573.41</v>
      </c>
      <c r="E58" s="267">
        <f>6DOCHODY!F401</f>
        <v>15134.67</v>
      </c>
      <c r="F58" s="1277">
        <f>E58/D58*100</f>
        <v>73.5642268345403</v>
      </c>
      <c r="G58" s="734">
        <f>D58</f>
        <v>20573.41</v>
      </c>
      <c r="H58" s="734">
        <f>'12DiW zlecone'!D47</f>
        <v>14837.91</v>
      </c>
      <c r="I58" s="1287">
        <f>H58/G58*100</f>
        <v>72.12178243665002</v>
      </c>
      <c r="J58" s="1270">
        <f t="shared" si="2"/>
        <v>5735.5</v>
      </c>
      <c r="L58" s="1288"/>
      <c r="N58" s="1288"/>
      <c r="Q58" s="493" t="s">
        <v>1192</v>
      </c>
    </row>
    <row r="59" spans="1:17" ht="23.25" customHeight="1">
      <c r="A59" s="1295"/>
      <c r="B59" s="1296" t="s">
        <v>413</v>
      </c>
      <c r="C59" s="1317" t="s">
        <v>1120</v>
      </c>
      <c r="D59" s="267">
        <f>SUM(6DOCHODY!E404)</f>
        <v>736000</v>
      </c>
      <c r="E59" s="267">
        <f>SUM(6DOCHODY!F404)</f>
        <v>552000</v>
      </c>
      <c r="F59" s="1277">
        <f t="shared" si="0"/>
        <v>75</v>
      </c>
      <c r="G59" s="734">
        <f t="shared" si="5"/>
        <v>736000</v>
      </c>
      <c r="H59" s="734">
        <v>527371.69</v>
      </c>
      <c r="I59" s="1287">
        <f t="shared" si="3"/>
        <v>71.65376222826086</v>
      </c>
      <c r="J59" s="1270">
        <f t="shared" si="2"/>
        <v>208628.31000000006</v>
      </c>
      <c r="K59" s="1316" t="s">
        <v>1407</v>
      </c>
      <c r="L59" s="1288"/>
      <c r="N59" s="1288">
        <f>L59+M59</f>
        <v>0</v>
      </c>
      <c r="O59" s="1246" t="s">
        <v>335</v>
      </c>
      <c r="Q59" s="493" t="s">
        <v>1195</v>
      </c>
    </row>
    <row r="60" spans="1:12" ht="26.25" customHeight="1" hidden="1">
      <c r="A60" s="1295"/>
      <c r="B60" s="1296" t="s">
        <v>528</v>
      </c>
      <c r="C60" s="1318" t="s">
        <v>529</v>
      </c>
      <c r="D60" s="267">
        <f>SUM(6DOCHODY!E781)</f>
        <v>0</v>
      </c>
      <c r="E60" s="267">
        <f>SUM(6DOCHODY!F781)</f>
        <v>0</v>
      </c>
      <c r="F60" s="1277" t="e">
        <f t="shared" si="0"/>
        <v>#DIV/0!</v>
      </c>
      <c r="G60" s="734">
        <f t="shared" si="5"/>
        <v>0</v>
      </c>
      <c r="H60" s="734"/>
      <c r="I60" s="1287" t="e">
        <f t="shared" si="3"/>
        <v>#DIV/0!</v>
      </c>
      <c r="J60" s="1270">
        <f t="shared" si="2"/>
        <v>0</v>
      </c>
      <c r="L60" s="1288"/>
    </row>
    <row r="61" spans="1:17" ht="21" customHeight="1">
      <c r="A61" s="1273"/>
      <c r="B61" s="1285" t="s">
        <v>446</v>
      </c>
      <c r="C61" s="1294" t="s">
        <v>31</v>
      </c>
      <c r="D61" s="267">
        <f>SUM(6DOCHODY!E410,6DOCHODY!E411)</f>
        <v>472618</v>
      </c>
      <c r="E61" s="267">
        <f>SUM(6DOCHODY!F410,6DOCHODY!F411)</f>
        <v>238618</v>
      </c>
      <c r="F61" s="1277">
        <f t="shared" si="0"/>
        <v>50.48855523911489</v>
      </c>
      <c r="G61" s="734">
        <f t="shared" si="5"/>
        <v>472618</v>
      </c>
      <c r="H61" s="734">
        <f>'12DiW zlecone'!D49+6DOCHODY!F411</f>
        <v>235950</v>
      </c>
      <c r="I61" s="1287">
        <f t="shared" si="3"/>
        <v>49.92404013389249</v>
      </c>
      <c r="J61" s="1270">
        <f t="shared" si="2"/>
        <v>236668</v>
      </c>
      <c r="L61" s="1288"/>
      <c r="M61" s="1245">
        <v>2280.65</v>
      </c>
      <c r="N61" s="1288">
        <f>L61+M61</f>
        <v>2280.65</v>
      </c>
      <c r="O61" s="1246" t="s">
        <v>228</v>
      </c>
      <c r="Q61" s="493" t="s">
        <v>1194</v>
      </c>
    </row>
    <row r="62" spans="1:12" ht="54" customHeight="1" hidden="1">
      <c r="A62" s="1273"/>
      <c r="B62" s="1285" t="s">
        <v>495</v>
      </c>
      <c r="C62" s="1286" t="s">
        <v>496</v>
      </c>
      <c r="D62" s="267">
        <f>SUM(6DOCHODY!E784)</f>
        <v>0</v>
      </c>
      <c r="E62" s="267">
        <f>SUM(6DOCHODY!F784)</f>
        <v>0</v>
      </c>
      <c r="F62" s="1277" t="e">
        <f t="shared" si="0"/>
        <v>#DIV/0!</v>
      </c>
      <c r="G62" s="734">
        <f t="shared" si="5"/>
        <v>0</v>
      </c>
      <c r="H62" s="734"/>
      <c r="I62" s="1287" t="e">
        <f aca="true" t="shared" si="6" ref="I62:I86">H62/G62*100</f>
        <v>#DIV/0!</v>
      </c>
      <c r="J62" s="1270">
        <f t="shared" si="2"/>
        <v>0</v>
      </c>
      <c r="L62" s="1288"/>
    </row>
    <row r="63" spans="1:15" ht="37.5" customHeight="1">
      <c r="A63" s="1295"/>
      <c r="B63" s="1296" t="s">
        <v>448</v>
      </c>
      <c r="C63" s="1286" t="s">
        <v>34</v>
      </c>
      <c r="D63" s="267">
        <f>SUM(6DOCHODY!E417)</f>
        <v>132527</v>
      </c>
      <c r="E63" s="267">
        <f>SUM(6DOCHODY!F417)</f>
        <v>68362</v>
      </c>
      <c r="F63" s="1277">
        <f t="shared" si="0"/>
        <v>51.58345091943528</v>
      </c>
      <c r="G63" s="734">
        <f t="shared" si="5"/>
        <v>132527</v>
      </c>
      <c r="H63" s="734">
        <f>SUM('12DiW zlecone'!D51)</f>
        <v>68102.64</v>
      </c>
      <c r="I63" s="1287">
        <f t="shared" si="6"/>
        <v>51.3877474024161</v>
      </c>
      <c r="J63" s="1270">
        <f t="shared" si="2"/>
        <v>64424.36</v>
      </c>
      <c r="L63" s="1288"/>
      <c r="O63" s="1246" t="s">
        <v>336</v>
      </c>
    </row>
    <row r="64" spans="1:15" ht="22.5" customHeight="1">
      <c r="A64" s="1295"/>
      <c r="B64" s="1296" t="s">
        <v>1428</v>
      </c>
      <c r="C64" s="1286" t="s">
        <v>1429</v>
      </c>
      <c r="D64" s="267">
        <f>6DOCHODY!E420</f>
        <v>420000</v>
      </c>
      <c r="E64" s="267">
        <f>6DOCHODY!F420</f>
        <v>360000</v>
      </c>
      <c r="F64" s="1277">
        <f>E64/D64*100</f>
        <v>85.71428571428571</v>
      </c>
      <c r="G64" s="734">
        <f>D64</f>
        <v>420000</v>
      </c>
      <c r="H64" s="734">
        <v>289819.07</v>
      </c>
      <c r="I64" s="1287">
        <f>H64/G64*100</f>
        <v>69.00454047619048</v>
      </c>
      <c r="J64" s="1270">
        <f t="shared" si="2"/>
        <v>130180.93</v>
      </c>
      <c r="L64" s="1288"/>
      <c r="O64" s="1246" t="s">
        <v>335</v>
      </c>
    </row>
    <row r="65" spans="1:12" ht="33" customHeight="1" hidden="1">
      <c r="A65" s="1295"/>
      <c r="B65" s="1296" t="s">
        <v>1028</v>
      </c>
      <c r="C65" s="1286" t="s">
        <v>1115</v>
      </c>
      <c r="D65" s="267">
        <f>6DOCHODY!E423</f>
        <v>0</v>
      </c>
      <c r="E65" s="267">
        <f>6DOCHODY!F423</f>
        <v>0</v>
      </c>
      <c r="F65" s="1277" t="e">
        <f t="shared" si="0"/>
        <v>#DIV/0!</v>
      </c>
      <c r="G65" s="734">
        <f t="shared" si="5"/>
        <v>0</v>
      </c>
      <c r="H65" s="734">
        <f>'12DiW zlecone'!D53</f>
        <v>0</v>
      </c>
      <c r="I65" s="1287" t="e">
        <f t="shared" si="6"/>
        <v>#DIV/0!</v>
      </c>
      <c r="J65" s="1270">
        <f t="shared" si="2"/>
        <v>0</v>
      </c>
      <c r="L65" s="1288"/>
    </row>
    <row r="66" spans="1:17" ht="21.75" customHeight="1" hidden="1">
      <c r="A66" s="1295"/>
      <c r="B66" s="1296" t="s">
        <v>450</v>
      </c>
      <c r="C66" s="1286" t="s">
        <v>176</v>
      </c>
      <c r="D66" s="267">
        <f>SUM(6DOCHODY!E426,6DOCHODY!E427,6DOCHODY!E428,6DOCHODY!E786)</f>
        <v>0</v>
      </c>
      <c r="E66" s="267">
        <f>SUM(6DOCHODY!F426,6DOCHODY!F427,6DOCHODY!F428,6DOCHODY!F786)</f>
        <v>0</v>
      </c>
      <c r="F66" s="1277" t="e">
        <f t="shared" si="0"/>
        <v>#DIV/0!</v>
      </c>
      <c r="G66" s="734">
        <f t="shared" si="5"/>
        <v>0</v>
      </c>
      <c r="H66" s="734">
        <v>0</v>
      </c>
      <c r="I66" s="1287" t="e">
        <f t="shared" si="6"/>
        <v>#DIV/0!</v>
      </c>
      <c r="J66" s="1270">
        <f t="shared" si="2"/>
        <v>0</v>
      </c>
      <c r="K66" s="1316" t="s">
        <v>1407</v>
      </c>
      <c r="L66" s="1288"/>
      <c r="M66" s="1245">
        <f>22400</f>
        <v>22400</v>
      </c>
      <c r="N66" s="1288">
        <f>L66+M66</f>
        <v>22400</v>
      </c>
      <c r="O66" s="1246" t="s">
        <v>886</v>
      </c>
      <c r="Q66" s="493" t="s">
        <v>1194</v>
      </c>
    </row>
    <row r="67" spans="1:17" s="486" customFormat="1" ht="37.5" customHeight="1">
      <c r="A67" s="1303" t="s">
        <v>25</v>
      </c>
      <c r="B67" s="1304"/>
      <c r="C67" s="1290" t="s">
        <v>710</v>
      </c>
      <c r="D67" s="1291">
        <f>SUM(D68,D69,D70,D71)</f>
        <v>6600</v>
      </c>
      <c r="E67" s="1291">
        <f>SUM(E68,E69,E70,E71)</f>
        <v>3600</v>
      </c>
      <c r="F67" s="1263">
        <f t="shared" si="0"/>
        <v>54.54545454545454</v>
      </c>
      <c r="G67" s="1291">
        <f>SUM(G68,G69,G70,G71)</f>
        <v>6600</v>
      </c>
      <c r="H67" s="1291">
        <f>SUM(H68,H69,H70,H71)</f>
        <v>3600</v>
      </c>
      <c r="I67" s="1292">
        <f t="shared" si="6"/>
        <v>54.54545454545454</v>
      </c>
      <c r="J67" s="1270">
        <f t="shared" si="2"/>
        <v>3000</v>
      </c>
      <c r="K67" s="1266">
        <f>SUM(H67)</f>
        <v>3600</v>
      </c>
      <c r="L67" s="1293"/>
      <c r="M67" s="1248"/>
      <c r="N67" s="1248"/>
      <c r="O67" s="1249" t="s">
        <v>831</v>
      </c>
      <c r="Q67" s="1089"/>
    </row>
    <row r="68" spans="1:17" ht="23.25" customHeight="1" hidden="1">
      <c r="A68" s="1295"/>
      <c r="B68" s="1296" t="s">
        <v>26</v>
      </c>
      <c r="C68" s="1286" t="s">
        <v>711</v>
      </c>
      <c r="D68" s="267">
        <f>6DOCHODY!E437</f>
        <v>0</v>
      </c>
      <c r="E68" s="267">
        <f>6DOCHODY!F437</f>
        <v>0</v>
      </c>
      <c r="F68" s="1277" t="e">
        <f t="shared" si="0"/>
        <v>#DIV/0!</v>
      </c>
      <c r="G68" s="734">
        <f>D68</f>
        <v>0</v>
      </c>
      <c r="H68" s="737">
        <f>E68</f>
        <v>0</v>
      </c>
      <c r="I68" s="1287" t="e">
        <f t="shared" si="6"/>
        <v>#DIV/0!</v>
      </c>
      <c r="J68" s="1270">
        <f t="shared" si="2"/>
        <v>0</v>
      </c>
      <c r="K68" s="1270"/>
      <c r="L68" s="1288"/>
      <c r="Q68" s="493" t="s">
        <v>1195</v>
      </c>
    </row>
    <row r="69" spans="1:17" ht="26.25" customHeight="1" hidden="1">
      <c r="A69" s="1295"/>
      <c r="B69" s="1296" t="s">
        <v>33</v>
      </c>
      <c r="C69" s="1286" t="s">
        <v>940</v>
      </c>
      <c r="D69" s="267">
        <f>SUM(6DOCHODY!E789)</f>
        <v>0</v>
      </c>
      <c r="E69" s="267">
        <f>SUM(6DOCHODY!F789)</f>
        <v>0</v>
      </c>
      <c r="F69" s="1277" t="e">
        <f t="shared" si="0"/>
        <v>#DIV/0!</v>
      </c>
      <c r="G69" s="734">
        <f>D69</f>
        <v>0</v>
      </c>
      <c r="H69" s="734">
        <f>SUM('12DiW zlecone'!D99)</f>
        <v>0</v>
      </c>
      <c r="I69" s="1287" t="e">
        <f t="shared" si="6"/>
        <v>#DIV/0!</v>
      </c>
      <c r="J69" s="1270">
        <f t="shared" si="2"/>
        <v>0</v>
      </c>
      <c r="L69" s="1288"/>
      <c r="O69" s="1246" t="s">
        <v>226</v>
      </c>
      <c r="Q69" s="493" t="s">
        <v>1196</v>
      </c>
    </row>
    <row r="70" spans="1:12" ht="20.25" customHeight="1" hidden="1">
      <c r="A70" s="1295"/>
      <c r="B70" s="1296" t="s">
        <v>1010</v>
      </c>
      <c r="C70" s="1286" t="s">
        <v>1011</v>
      </c>
      <c r="D70" s="267">
        <f>6DOCHODY!E796</f>
        <v>0</v>
      </c>
      <c r="E70" s="267">
        <f>6DOCHODY!F796</f>
        <v>0</v>
      </c>
      <c r="F70" s="1277" t="e">
        <f>E70/D70*100</f>
        <v>#DIV/0!</v>
      </c>
      <c r="G70" s="734">
        <f>D70</f>
        <v>0</v>
      </c>
      <c r="H70" s="734">
        <f>'12DiW zlecone'!D101</f>
        <v>0</v>
      </c>
      <c r="I70" s="1287" t="e">
        <f>H70/G70*100</f>
        <v>#DIV/0!</v>
      </c>
      <c r="J70" s="1270">
        <f t="shared" si="2"/>
        <v>0</v>
      </c>
      <c r="L70" s="1288"/>
    </row>
    <row r="71" spans="1:15" ht="20.25" customHeight="1">
      <c r="A71" s="1295"/>
      <c r="B71" s="1296" t="s">
        <v>714</v>
      </c>
      <c r="C71" s="1286" t="s">
        <v>176</v>
      </c>
      <c r="D71" s="267">
        <f>6DOCHODY!E808</f>
        <v>6600</v>
      </c>
      <c r="E71" s="267">
        <f>6DOCHODY!F808</f>
        <v>3600</v>
      </c>
      <c r="F71" s="1277">
        <f>E71/D71*100</f>
        <v>54.54545454545454</v>
      </c>
      <c r="G71" s="734">
        <f>D71</f>
        <v>6600</v>
      </c>
      <c r="H71" s="734">
        <f>'12DiW zlecone'!D103</f>
        <v>3600</v>
      </c>
      <c r="I71" s="1287">
        <f>H71/G71*100</f>
        <v>54.54545454545454</v>
      </c>
      <c r="J71" s="1270">
        <f t="shared" si="2"/>
        <v>3000</v>
      </c>
      <c r="L71" s="1288"/>
      <c r="O71" s="1246" t="s">
        <v>226</v>
      </c>
    </row>
    <row r="72" spans="1:15" s="486" customFormat="1" ht="29.25" customHeight="1">
      <c r="A72" s="1303" t="s">
        <v>35</v>
      </c>
      <c r="B72" s="1304"/>
      <c r="C72" s="1290" t="s">
        <v>38</v>
      </c>
      <c r="D72" s="1291">
        <f>SUM(D73,D74,D75)</f>
        <v>51516</v>
      </c>
      <c r="E72" s="1291">
        <f>SUM(E73,E74,E75)</f>
        <v>45616</v>
      </c>
      <c r="F72" s="1263">
        <f t="shared" si="0"/>
        <v>88.54724745710071</v>
      </c>
      <c r="G72" s="729">
        <f>SUM(G73,G74,G75)</f>
        <v>51516</v>
      </c>
      <c r="H72" s="729">
        <f>SUM(H73,H74,H75)</f>
        <v>31606</v>
      </c>
      <c r="I72" s="1292">
        <f t="shared" si="6"/>
        <v>61.35181302896188</v>
      </c>
      <c r="J72" s="1270">
        <f t="shared" si="2"/>
        <v>19910</v>
      </c>
      <c r="K72" s="1266">
        <f>SUM(H72)</f>
        <v>31606</v>
      </c>
      <c r="L72" s="1293"/>
      <c r="M72" s="1248"/>
      <c r="N72" s="1248"/>
      <c r="O72" s="1249" t="s">
        <v>831</v>
      </c>
    </row>
    <row r="73" spans="1:12" ht="37.5" customHeight="1" hidden="1">
      <c r="A73" s="1295"/>
      <c r="B73" s="1296" t="s">
        <v>40</v>
      </c>
      <c r="C73" s="1286" t="s">
        <v>28</v>
      </c>
      <c r="D73" s="267">
        <f>SUM(6DOCHODY!E818)</f>
        <v>0</v>
      </c>
      <c r="E73" s="267">
        <f>SUM(6DOCHODY!F818)</f>
        <v>0</v>
      </c>
      <c r="F73" s="1277" t="e">
        <f t="shared" si="0"/>
        <v>#DIV/0!</v>
      </c>
      <c r="G73" s="734">
        <f aca="true" t="shared" si="7" ref="G73:H75">D73</f>
        <v>0</v>
      </c>
      <c r="H73" s="734">
        <f t="shared" si="7"/>
        <v>0</v>
      </c>
      <c r="I73" s="1287" t="e">
        <f t="shared" si="6"/>
        <v>#DIV/0!</v>
      </c>
      <c r="J73" s="1270">
        <f t="shared" si="2"/>
        <v>0</v>
      </c>
      <c r="L73" s="1288"/>
    </row>
    <row r="74" spans="1:17" ht="20.25" customHeight="1">
      <c r="A74" s="1295"/>
      <c r="B74" s="1296" t="s">
        <v>86</v>
      </c>
      <c r="C74" s="1286" t="s">
        <v>87</v>
      </c>
      <c r="D74" s="267">
        <f>SUM(6DOCHODY!E456,6DOCHODY!E457,6DOCHODY!E822,6DOCHODY!E458)</f>
        <v>51516</v>
      </c>
      <c r="E74" s="267">
        <f>SUM(6DOCHODY!F456,6DOCHODY!F457,6DOCHODY!F822,6DOCHODY!F458)</f>
        <v>45616</v>
      </c>
      <c r="F74" s="1277">
        <f t="shared" si="0"/>
        <v>88.54724745710071</v>
      </c>
      <c r="G74" s="734">
        <f t="shared" si="7"/>
        <v>51516</v>
      </c>
      <c r="H74" s="734">
        <v>31606</v>
      </c>
      <c r="I74" s="1287">
        <f t="shared" si="6"/>
        <v>61.35181302896188</v>
      </c>
      <c r="J74" s="1270">
        <f t="shared" si="2"/>
        <v>19910</v>
      </c>
      <c r="K74" s="1316" t="s">
        <v>1407</v>
      </c>
      <c r="L74" s="1288"/>
      <c r="M74" s="1245">
        <v>0</v>
      </c>
      <c r="N74" s="1288">
        <f>L74+M74</f>
        <v>0</v>
      </c>
      <c r="O74" s="1246" t="s">
        <v>229</v>
      </c>
      <c r="Q74" s="493" t="s">
        <v>1195</v>
      </c>
    </row>
    <row r="75" spans="1:12" ht="20.25" customHeight="1" hidden="1">
      <c r="A75" s="1295"/>
      <c r="B75" s="1299" t="s">
        <v>382</v>
      </c>
      <c r="C75" s="1286" t="s">
        <v>176</v>
      </c>
      <c r="D75" s="267">
        <f>SUM(6DOCHODY!E829,6DOCHODY!E830)</f>
        <v>0</v>
      </c>
      <c r="E75" s="267">
        <f>SUM(6DOCHODY!F829,6DOCHODY!F830)</f>
        <v>0</v>
      </c>
      <c r="F75" s="1298" t="e">
        <f t="shared" si="0"/>
        <v>#DIV/0!</v>
      </c>
      <c r="G75" s="734">
        <f t="shared" si="7"/>
        <v>0</v>
      </c>
      <c r="H75" s="734">
        <f t="shared" si="7"/>
        <v>0</v>
      </c>
      <c r="I75" s="1287" t="e">
        <f t="shared" si="6"/>
        <v>#DIV/0!</v>
      </c>
      <c r="J75" s="1270">
        <f t="shared" si="2"/>
        <v>0</v>
      </c>
      <c r="L75" s="1288"/>
    </row>
    <row r="76" spans="1:12" ht="20.25" customHeight="1">
      <c r="A76" s="1303" t="s">
        <v>1430</v>
      </c>
      <c r="B76" s="1304"/>
      <c r="C76" s="1290" t="s">
        <v>1444</v>
      </c>
      <c r="D76" s="1291">
        <f>SUM(D77,D78,D79,D80,D81)</f>
        <v>20661561</v>
      </c>
      <c r="E76" s="1291">
        <f>SUM(E77,E78,E79,E80,E81)</f>
        <v>11847361</v>
      </c>
      <c r="F76" s="1263">
        <f aca="true" t="shared" si="8" ref="F76:F81">E76/D76*100</f>
        <v>57.34010610330943</v>
      </c>
      <c r="G76" s="729">
        <f>SUM(G77,G78,G79,G80,G81)</f>
        <v>20661561</v>
      </c>
      <c r="H76" s="729">
        <f>SUM(H77,H78,H79,H80,H81)</f>
        <v>11394011.389999999</v>
      </c>
      <c r="I76" s="1292">
        <f aca="true" t="shared" si="9" ref="I76:I81">H76/G76*100</f>
        <v>55.1459368921835</v>
      </c>
      <c r="J76" s="1270">
        <f t="shared" si="2"/>
        <v>9267549.610000001</v>
      </c>
      <c r="L76" s="1288"/>
    </row>
    <row r="77" spans="1:15" ht="20.25" customHeight="1">
      <c r="A77" s="1295"/>
      <c r="B77" s="1296" t="s">
        <v>1432</v>
      </c>
      <c r="C77" s="1286" t="s">
        <v>1318</v>
      </c>
      <c r="D77" s="267">
        <f>SUM(6DOCHODY!E466)</f>
        <v>12878000</v>
      </c>
      <c r="E77" s="267">
        <f>SUM(6DOCHODY!F466)</f>
        <v>7493000</v>
      </c>
      <c r="F77" s="1277">
        <f t="shared" si="8"/>
        <v>58.18450069886628</v>
      </c>
      <c r="G77" s="734">
        <f>D77</f>
        <v>12878000</v>
      </c>
      <c r="H77" s="734">
        <f>'12DiW zlecone'!D57</f>
        <v>7251948.35</v>
      </c>
      <c r="I77" s="1287">
        <f t="shared" si="9"/>
        <v>56.312691023450846</v>
      </c>
      <c r="J77" s="1270">
        <f t="shared" si="2"/>
        <v>5626051.65</v>
      </c>
      <c r="L77" s="1288"/>
      <c r="O77" s="1246" t="s">
        <v>336</v>
      </c>
    </row>
    <row r="78" spans="1:15" ht="76.5" customHeight="1">
      <c r="A78" s="1295"/>
      <c r="B78" s="1296" t="s">
        <v>1437</v>
      </c>
      <c r="C78" s="1334" t="s">
        <v>854</v>
      </c>
      <c r="D78" s="267">
        <f>SUM(6DOCHODY!E472)</f>
        <v>7402000</v>
      </c>
      <c r="E78" s="267">
        <f>SUM(6DOCHODY!F472)</f>
        <v>4149050</v>
      </c>
      <c r="F78" s="1277">
        <f t="shared" si="8"/>
        <v>56.05309375844366</v>
      </c>
      <c r="G78" s="734">
        <f>D78</f>
        <v>7402000</v>
      </c>
      <c r="H78" s="734">
        <f>'12DiW zlecone'!D59</f>
        <v>3938127.5300000003</v>
      </c>
      <c r="I78" s="1287">
        <f t="shared" si="9"/>
        <v>53.203560253985415</v>
      </c>
      <c r="J78" s="1270">
        <f t="shared" si="2"/>
        <v>3463872.4699999997</v>
      </c>
      <c r="L78" s="1288"/>
      <c r="O78" s="1246" t="s">
        <v>336</v>
      </c>
    </row>
    <row r="79" spans="1:15" ht="20.25" customHeight="1">
      <c r="A79" s="1295"/>
      <c r="B79" s="1296" t="s">
        <v>1434</v>
      </c>
      <c r="C79" s="1318" t="s">
        <v>1435</v>
      </c>
      <c r="D79" s="267">
        <f>SUM(6DOCHODY!E476)</f>
        <v>161</v>
      </c>
      <c r="E79" s="267">
        <f>SUM(6DOCHODY!F476)</f>
        <v>161</v>
      </c>
      <c r="F79" s="1277">
        <f t="shared" si="8"/>
        <v>100</v>
      </c>
      <c r="G79" s="734">
        <f>D79</f>
        <v>161</v>
      </c>
      <c r="H79" s="734">
        <f>'12DiW zlecone'!D61</f>
        <v>0</v>
      </c>
      <c r="I79" s="1287">
        <f t="shared" si="9"/>
        <v>0</v>
      </c>
      <c r="J79" s="1270">
        <f t="shared" si="2"/>
        <v>161</v>
      </c>
      <c r="L79" s="1288"/>
      <c r="O79" s="1246" t="s">
        <v>336</v>
      </c>
    </row>
    <row r="80" spans="1:15" ht="30.75" customHeight="1">
      <c r="A80" s="1295"/>
      <c r="B80" s="1299" t="s">
        <v>1438</v>
      </c>
      <c r="C80" s="1334" t="s">
        <v>1439</v>
      </c>
      <c r="D80" s="267">
        <f>SUM(6DOCHODY!E483)</f>
        <v>50400</v>
      </c>
      <c r="E80" s="267">
        <f>SUM(6DOCHODY!F483)</f>
        <v>25200</v>
      </c>
      <c r="F80" s="1298">
        <f t="shared" si="8"/>
        <v>50</v>
      </c>
      <c r="G80" s="734">
        <f>D80</f>
        <v>50400</v>
      </c>
      <c r="H80" s="734">
        <f>E80</f>
        <v>25200</v>
      </c>
      <c r="I80" s="1287">
        <f t="shared" si="9"/>
        <v>50</v>
      </c>
      <c r="J80" s="1270">
        <f t="shared" si="2"/>
        <v>25200</v>
      </c>
      <c r="L80" s="1288"/>
      <c r="O80" s="1246" t="s">
        <v>335</v>
      </c>
    </row>
    <row r="81" spans="1:15" ht="20.25" customHeight="1" thickBot="1">
      <c r="A81" s="1335"/>
      <c r="B81" s="1336" t="s">
        <v>1440</v>
      </c>
      <c r="C81" s="1337" t="s">
        <v>527</v>
      </c>
      <c r="D81" s="1338">
        <f>SUM(6DOCHODY!E837)</f>
        <v>331000</v>
      </c>
      <c r="E81" s="1338">
        <f>SUM(6DOCHODY!F837)</f>
        <v>179950</v>
      </c>
      <c r="F81" s="1339">
        <f t="shared" si="8"/>
        <v>54.3655589123867</v>
      </c>
      <c r="G81" s="744">
        <f>D81</f>
        <v>331000</v>
      </c>
      <c r="H81" s="744">
        <f>'12DiW zlecone'!D105</f>
        <v>178735.51</v>
      </c>
      <c r="I81" s="1340">
        <f t="shared" si="9"/>
        <v>53.99864350453173</v>
      </c>
      <c r="J81" s="1270">
        <f t="shared" si="2"/>
        <v>152264.49</v>
      </c>
      <c r="L81" s="1288"/>
      <c r="O81" s="1246" t="s">
        <v>1578</v>
      </c>
    </row>
    <row r="82" spans="1:15" s="486" customFormat="1" ht="36.75" customHeight="1" hidden="1">
      <c r="A82" s="1329" t="s">
        <v>89</v>
      </c>
      <c r="B82" s="1330"/>
      <c r="C82" s="1331" t="s">
        <v>812</v>
      </c>
      <c r="D82" s="1262">
        <f>SUM(D83)</f>
        <v>0</v>
      </c>
      <c r="E82" s="1262">
        <f>SUM(E83)</f>
        <v>0</v>
      </c>
      <c r="F82" s="1263" t="e">
        <f t="shared" si="0"/>
        <v>#DIV/0!</v>
      </c>
      <c r="G82" s="1320">
        <f>SUM(G83)</f>
        <v>0</v>
      </c>
      <c r="H82" s="1320">
        <f>SUM(H83)</f>
        <v>0</v>
      </c>
      <c r="I82" s="1265" t="e">
        <f t="shared" si="6"/>
        <v>#DIV/0!</v>
      </c>
      <c r="J82" s="1270">
        <f t="shared" si="2"/>
        <v>0</v>
      </c>
      <c r="K82" s="1247"/>
      <c r="L82" s="1293"/>
      <c r="M82" s="1248"/>
      <c r="N82" s="1248"/>
      <c r="O82" s="1249"/>
    </row>
    <row r="83" spans="1:15" ht="20.25" customHeight="1" hidden="1">
      <c r="A83" s="1295"/>
      <c r="B83" s="1299" t="s">
        <v>93</v>
      </c>
      <c r="C83" s="1286" t="s">
        <v>176</v>
      </c>
      <c r="D83" s="267">
        <f>6DOCHODY!E854</f>
        <v>0</v>
      </c>
      <c r="E83" s="267">
        <f>6DOCHODY!F854</f>
        <v>0</v>
      </c>
      <c r="F83" s="1298" t="e">
        <f>E83/D83*100</f>
        <v>#DIV/0!</v>
      </c>
      <c r="G83" s="734">
        <f>D83</f>
        <v>0</v>
      </c>
      <c r="H83" s="734">
        <f>'12DiW zlecone'!D107</f>
        <v>0</v>
      </c>
      <c r="I83" s="1287" t="e">
        <f t="shared" si="6"/>
        <v>#DIV/0!</v>
      </c>
      <c r="J83" s="1270">
        <f t="shared" si="2"/>
        <v>0</v>
      </c>
      <c r="L83" s="1288"/>
      <c r="O83" s="1246" t="s">
        <v>1340</v>
      </c>
    </row>
    <row r="84" spans="1:15" s="486" customFormat="1" ht="26.25" customHeight="1" hidden="1">
      <c r="A84" s="1303" t="s">
        <v>116</v>
      </c>
      <c r="B84" s="1321"/>
      <c r="C84" s="1290" t="s">
        <v>106</v>
      </c>
      <c r="D84" s="1291">
        <f>SUM(D85)</f>
        <v>0</v>
      </c>
      <c r="E84" s="1291">
        <f>SUM(E85)</f>
        <v>0</v>
      </c>
      <c r="F84" s="1322" t="e">
        <f>E84/D84*100</f>
        <v>#DIV/0!</v>
      </c>
      <c r="G84" s="729">
        <f>SUM(G85)</f>
        <v>0</v>
      </c>
      <c r="H84" s="729">
        <f>SUM(H85)</f>
        <v>0</v>
      </c>
      <c r="I84" s="1292" t="e">
        <f>H84/G84*100</f>
        <v>#DIV/0!</v>
      </c>
      <c r="J84" s="1270">
        <f>G84-H84</f>
        <v>0</v>
      </c>
      <c r="K84" s="1247"/>
      <c r="L84" s="1293"/>
      <c r="M84" s="1248"/>
      <c r="N84" s="1248"/>
      <c r="O84" s="1249"/>
    </row>
    <row r="85" spans="1:12" ht="21" customHeight="1" hidden="1">
      <c r="A85" s="1295"/>
      <c r="B85" s="1299" t="s">
        <v>119</v>
      </c>
      <c r="C85" s="1286" t="s">
        <v>120</v>
      </c>
      <c r="D85" s="267">
        <f>SUM(6DOCHODY!E588)</f>
        <v>0</v>
      </c>
      <c r="E85" s="267">
        <f>SUM(6DOCHODY!F588)</f>
        <v>0</v>
      </c>
      <c r="F85" s="1298" t="e">
        <f>E85/D85*100</f>
        <v>#DIV/0!</v>
      </c>
      <c r="G85" s="734">
        <f>D85</f>
        <v>0</v>
      </c>
      <c r="H85" s="734">
        <f>E85</f>
        <v>0</v>
      </c>
      <c r="I85" s="1287" t="e">
        <f>H85/G85*100</f>
        <v>#DIV/0!</v>
      </c>
      <c r="J85" s="1270">
        <f>G85-H85</f>
        <v>0</v>
      </c>
      <c r="L85" s="1288"/>
    </row>
    <row r="86" spans="1:15" s="486" customFormat="1" ht="21.75" customHeight="1" thickBot="1" thickTop="1">
      <c r="A86" s="1521" t="s">
        <v>820</v>
      </c>
      <c r="B86" s="1522"/>
      <c r="C86" s="1522"/>
      <c r="D86" s="1164">
        <f>SUM(D7,D9,D12,D15,D21,D25,D31,D35,D37,D46,D49,D67,D72,D76,D82,D84)</f>
        <v>32361500.740000002</v>
      </c>
      <c r="E86" s="1164">
        <f>SUM(E7,E9,E12,E15,E21,E25,E31,E35,E37,E46,E49,E67,E72,E76,E82,E84)</f>
        <v>18899041.45</v>
      </c>
      <c r="F86" s="1323">
        <f>E86/D86*100</f>
        <v>58.39976829826094</v>
      </c>
      <c r="G86" s="1164">
        <f>SUM(G7,G9,G12,G15,G21,G25,G31,G35,G37,G46,G49,G67,G72,G76,G82,G84)</f>
        <v>32361500.740000002</v>
      </c>
      <c r="H86" s="1164">
        <f>SUM(H7,H9,H12,H15,H21,H25,H31,H35,H37,H46,H49,H67,H72,H76,H82,H84)</f>
        <v>17684712.52</v>
      </c>
      <c r="I86" s="1324">
        <f t="shared" si="6"/>
        <v>54.647380732071696</v>
      </c>
      <c r="J86" s="1270">
        <f>G86-H86</f>
        <v>14676788.220000003</v>
      </c>
      <c r="K86" s="1266">
        <f>SUM(K7:K74)</f>
        <v>5604983.68</v>
      </c>
      <c r="L86" s="1293"/>
      <c r="M86" s="1248"/>
      <c r="N86" s="1248"/>
      <c r="O86" s="1249"/>
    </row>
    <row r="87" spans="1:15" s="1328" customFormat="1" ht="27" customHeight="1">
      <c r="A87" s="1520" t="s">
        <v>1253</v>
      </c>
      <c r="B87" s="1520"/>
      <c r="C87" s="1520"/>
      <c r="D87" s="1520"/>
      <c r="E87" s="1520"/>
      <c r="F87" s="1520"/>
      <c r="G87" s="1520"/>
      <c r="H87" s="1520"/>
      <c r="I87" s="1520"/>
      <c r="J87" s="1325"/>
      <c r="K87" s="1326"/>
      <c r="L87" s="1327"/>
      <c r="M87" s="1327"/>
      <c r="N87" s="1327"/>
      <c r="O87" s="1246"/>
    </row>
    <row r="88" spans="4:9" ht="12.75">
      <c r="D88" s="1077"/>
      <c r="E88" s="1077"/>
      <c r="F88" s="1341"/>
      <c r="G88" s="1342"/>
      <c r="H88" s="1077"/>
      <c r="I88" s="1343"/>
    </row>
    <row r="89" spans="4:9" ht="12.75">
      <c r="D89" s="1077"/>
      <c r="E89" s="1077"/>
      <c r="F89" s="1077"/>
      <c r="G89" s="1077"/>
      <c r="H89" s="1077"/>
      <c r="I89" s="1344"/>
    </row>
    <row r="90" spans="3:12" ht="12.75" hidden="1">
      <c r="C90" s="532" t="s">
        <v>660</v>
      </c>
      <c r="D90" s="1077">
        <v>29338145.53</v>
      </c>
      <c r="E90" s="1077">
        <v>14568659.23</v>
      </c>
      <c r="F90" s="1077"/>
      <c r="G90" s="1077">
        <f>D90</f>
        <v>29338145.53</v>
      </c>
      <c r="H90" s="1077"/>
      <c r="I90" s="1077"/>
      <c r="L90" s="1288">
        <f>SUM(L7:L74)</f>
        <v>0</v>
      </c>
    </row>
    <row r="91" spans="3:9" ht="12.75" hidden="1">
      <c r="C91" s="532" t="s">
        <v>931</v>
      </c>
      <c r="D91" s="1077">
        <f>D86-D90</f>
        <v>3023355.210000001</v>
      </c>
      <c r="E91" s="1077">
        <f>E86-E90</f>
        <v>4330382.219999999</v>
      </c>
      <c r="F91" s="1077"/>
      <c r="G91" s="1077">
        <f>G86-G90</f>
        <v>3023355.210000001</v>
      </c>
      <c r="H91" s="1077">
        <f>H86-H90</f>
        <v>17684712.52</v>
      </c>
      <c r="I91" s="1343"/>
    </row>
    <row r="92" spans="4:9" ht="12.75">
      <c r="D92" s="1077"/>
      <c r="E92" s="1077"/>
      <c r="F92" s="1077"/>
      <c r="G92" s="1342"/>
      <c r="H92" s="1077"/>
      <c r="I92" s="1343"/>
    </row>
    <row r="93" spans="4:9" ht="12.75">
      <c r="D93" s="1345"/>
      <c r="E93" s="1345"/>
      <c r="F93" s="1341"/>
      <c r="G93" s="1344"/>
      <c r="H93" s="1345"/>
      <c r="I93" s="1343"/>
    </row>
    <row r="94" spans="4:9" ht="12.75">
      <c r="D94" s="1345"/>
      <c r="E94" s="1345"/>
      <c r="F94" s="1341"/>
      <c r="G94" s="1344"/>
      <c r="H94" s="1345"/>
      <c r="I94" s="1343"/>
    </row>
    <row r="95" spans="4:9" ht="12.75">
      <c r="D95" s="1345"/>
      <c r="E95" s="1346"/>
      <c r="F95" s="1341"/>
      <c r="G95" s="1344"/>
      <c r="H95" s="1345"/>
      <c r="I95" s="1343"/>
    </row>
    <row r="96" spans="4:9" ht="12.75" hidden="1">
      <c r="D96" s="1517" t="s">
        <v>287</v>
      </c>
      <c r="E96" s="1517"/>
      <c r="F96" s="1341"/>
      <c r="G96" s="1344"/>
      <c r="H96" s="1345"/>
      <c r="I96" s="1343"/>
    </row>
    <row r="97" spans="3:9" ht="12.75" hidden="1">
      <c r="C97" s="1347" t="s">
        <v>1186</v>
      </c>
      <c r="D97" s="1348">
        <v>13214255.12</v>
      </c>
      <c r="E97" s="1348">
        <v>12863913.24</v>
      </c>
      <c r="F97" s="1349"/>
      <c r="G97" s="1350"/>
      <c r="H97" s="1349"/>
      <c r="I97" s="1343"/>
    </row>
    <row r="98" spans="3:9" ht="12.75" hidden="1">
      <c r="C98" s="1347" t="s">
        <v>1187</v>
      </c>
      <c r="D98" s="1348">
        <v>28889.5</v>
      </c>
      <c r="E98" s="1348">
        <v>26681.59</v>
      </c>
      <c r="F98" s="1349"/>
      <c r="G98" s="1350"/>
      <c r="H98" s="1349"/>
      <c r="I98" s="1343"/>
    </row>
    <row r="99" spans="3:9" ht="12.75" hidden="1">
      <c r="C99" s="1351" t="s">
        <v>1188</v>
      </c>
      <c r="D99" s="1352">
        <v>8896133</v>
      </c>
      <c r="E99" s="1352">
        <v>8752930.62</v>
      </c>
      <c r="F99" s="1349"/>
      <c r="G99" s="1350"/>
      <c r="H99" s="1349"/>
      <c r="I99" s="1343"/>
    </row>
    <row r="100" spans="4:9" ht="12.75" hidden="1">
      <c r="D100" s="1349">
        <f>SUM(D97:D99)</f>
        <v>22139277.619999997</v>
      </c>
      <c r="E100" s="1349">
        <f>SUM(E97:E99)</f>
        <v>21643525.45</v>
      </c>
      <c r="F100" s="1349"/>
      <c r="G100" s="1350"/>
      <c r="H100" s="1349"/>
      <c r="I100" s="1343"/>
    </row>
    <row r="101" spans="4:9" ht="12.75">
      <c r="D101" s="1349"/>
      <c r="E101" s="1349"/>
      <c r="F101" s="1349"/>
      <c r="G101" s="1350"/>
      <c r="H101" s="1349"/>
      <c r="I101" s="1343"/>
    </row>
    <row r="102" spans="4:9" ht="12.75">
      <c r="D102" s="1349"/>
      <c r="E102" s="1349"/>
      <c r="F102" s="1349"/>
      <c r="G102" s="1350"/>
      <c r="H102" s="1349"/>
      <c r="I102" s="1343"/>
    </row>
    <row r="103" spans="4:9" ht="12.75">
      <c r="D103" s="1349"/>
      <c r="E103" s="1349"/>
      <c r="F103" s="1349"/>
      <c r="G103" s="1350"/>
      <c r="H103" s="1349"/>
      <c r="I103" s="1343"/>
    </row>
    <row r="104" spans="4:9" ht="12.75">
      <c r="D104" s="1349"/>
      <c r="E104" s="1349"/>
      <c r="F104" s="1349"/>
      <c r="G104" s="1350"/>
      <c r="H104" s="1349"/>
      <c r="I104" s="1343"/>
    </row>
    <row r="105" spans="4:9" ht="12.75">
      <c r="D105" s="1345"/>
      <c r="E105" s="1345"/>
      <c r="F105" s="1341"/>
      <c r="G105" s="1344"/>
      <c r="H105" s="1345"/>
      <c r="I105" s="1343"/>
    </row>
    <row r="106" spans="4:9" ht="12.75">
      <c r="D106" s="1345"/>
      <c r="E106" s="1345"/>
      <c r="F106" s="1341"/>
      <c r="G106" s="1344"/>
      <c r="H106" s="1345"/>
      <c r="I106" s="1343"/>
    </row>
    <row r="107" spans="4:9" ht="12.75">
      <c r="D107" s="1345"/>
      <c r="E107" s="1345"/>
      <c r="F107" s="1341"/>
      <c r="G107" s="1344"/>
      <c r="H107" s="1345"/>
      <c r="I107" s="1343"/>
    </row>
    <row r="108" spans="4:9" ht="12.75">
      <c r="D108" s="1345"/>
      <c r="E108" s="1345"/>
      <c r="F108" s="1341"/>
      <c r="G108" s="1344"/>
      <c r="H108" s="1345"/>
      <c r="I108" s="1343"/>
    </row>
    <row r="109" spans="4:9" ht="12.75">
      <c r="D109" s="1345"/>
      <c r="E109" s="1345"/>
      <c r="F109" s="1341"/>
      <c r="G109" s="1344"/>
      <c r="H109" s="1345"/>
      <c r="I109" s="1343"/>
    </row>
    <row r="110" spans="4:9" ht="12.75">
      <c r="D110" s="1345"/>
      <c r="E110" s="1345"/>
      <c r="F110" s="1341"/>
      <c r="G110" s="1344"/>
      <c r="H110" s="1345"/>
      <c r="I110" s="1343"/>
    </row>
    <row r="111" ht="12.75">
      <c r="I111" s="1343"/>
    </row>
    <row r="112" ht="12.75">
      <c r="I112" s="1343"/>
    </row>
    <row r="113" ht="12.75">
      <c r="I113" s="1343"/>
    </row>
    <row r="114" ht="12.75">
      <c r="I114" s="1343"/>
    </row>
    <row r="115" ht="12.75">
      <c r="I115" s="1343"/>
    </row>
    <row r="116" ht="12.75">
      <c r="I116" s="1343"/>
    </row>
    <row r="117" ht="12.75">
      <c r="I117" s="1343"/>
    </row>
    <row r="118" ht="12.75">
      <c r="I118" s="1343"/>
    </row>
    <row r="119" ht="12.75">
      <c r="I119" s="1343"/>
    </row>
    <row r="120" ht="12.75">
      <c r="I120" s="1343"/>
    </row>
    <row r="121" ht="12.75">
      <c r="I121" s="1343"/>
    </row>
    <row r="122" ht="12.75">
      <c r="I122" s="1343"/>
    </row>
    <row r="123" ht="12.75">
      <c r="I123" s="1343"/>
    </row>
    <row r="124" ht="12.75">
      <c r="I124" s="1343"/>
    </row>
    <row r="125" ht="12.75">
      <c r="I125" s="1343"/>
    </row>
    <row r="126" ht="12.75">
      <c r="I126" s="1343"/>
    </row>
    <row r="127" ht="12.75">
      <c r="I127" s="1343"/>
    </row>
    <row r="128" ht="12.75">
      <c r="I128" s="1343"/>
    </row>
    <row r="129" ht="12.75">
      <c r="I129" s="1343"/>
    </row>
    <row r="130" ht="12.75">
      <c r="I130" s="1343"/>
    </row>
    <row r="131" ht="12.75">
      <c r="I131" s="1343"/>
    </row>
    <row r="132" ht="12.75">
      <c r="I132" s="1343"/>
    </row>
    <row r="133" ht="12.75">
      <c r="I133" s="1343"/>
    </row>
    <row r="134" ht="12.75">
      <c r="I134" s="1343"/>
    </row>
    <row r="135" ht="12.75">
      <c r="I135" s="1343"/>
    </row>
    <row r="136" ht="12.75">
      <c r="I136" s="1343"/>
    </row>
    <row r="137" ht="12.75">
      <c r="I137" s="1343"/>
    </row>
    <row r="138" ht="12.75">
      <c r="I138" s="1343"/>
    </row>
    <row r="139" ht="12.75">
      <c r="I139" s="1343"/>
    </row>
    <row r="140" ht="12.75">
      <c r="I140" s="1343"/>
    </row>
    <row r="141" ht="12.75">
      <c r="I141" s="1343"/>
    </row>
    <row r="142" ht="12.75">
      <c r="I142" s="1343"/>
    </row>
    <row r="143" ht="12.75">
      <c r="I143" s="1343"/>
    </row>
    <row r="144" ht="12.75">
      <c r="I144" s="1343"/>
    </row>
    <row r="145" ht="12.75">
      <c r="I145" s="1343"/>
    </row>
    <row r="146" ht="12.75">
      <c r="I146" s="1343"/>
    </row>
    <row r="147" ht="12.75">
      <c r="I147" s="1343"/>
    </row>
    <row r="148" ht="12.75">
      <c r="I148" s="1343"/>
    </row>
    <row r="149" ht="12.75">
      <c r="I149" s="1343"/>
    </row>
    <row r="150" ht="12.75">
      <c r="I150" s="1343"/>
    </row>
    <row r="151" ht="12.75">
      <c r="I151" s="1343"/>
    </row>
    <row r="152" ht="12.75">
      <c r="I152" s="1343"/>
    </row>
    <row r="153" ht="12.75">
      <c r="I153" s="1343"/>
    </row>
    <row r="154" ht="12.75">
      <c r="I154" s="1343"/>
    </row>
    <row r="155" ht="12.75">
      <c r="I155" s="1343"/>
    </row>
    <row r="156" ht="12.75">
      <c r="I156" s="1343"/>
    </row>
    <row r="157" ht="12.75">
      <c r="I157" s="1343"/>
    </row>
    <row r="158" ht="12.75">
      <c r="I158" s="1343"/>
    </row>
    <row r="159" ht="12.75">
      <c r="I159" s="1343"/>
    </row>
    <row r="160" ht="12.75">
      <c r="I160" s="1343"/>
    </row>
    <row r="161" ht="12.75">
      <c r="I161" s="1343"/>
    </row>
    <row r="162" ht="12.75">
      <c r="I162" s="1343"/>
    </row>
    <row r="163" ht="12.75">
      <c r="I163" s="1343"/>
    </row>
    <row r="164" ht="12.75">
      <c r="I164" s="1343"/>
    </row>
    <row r="165" ht="12.75">
      <c r="I165" s="1343"/>
    </row>
    <row r="166" ht="12.75">
      <c r="I166" s="1343"/>
    </row>
    <row r="167" ht="12.75">
      <c r="I167" s="1343"/>
    </row>
    <row r="168" ht="12.75">
      <c r="I168" s="1343"/>
    </row>
    <row r="169" ht="12.75">
      <c r="I169" s="1343"/>
    </row>
    <row r="170" ht="12.75">
      <c r="I170" s="1343"/>
    </row>
    <row r="171" ht="12.75">
      <c r="I171" s="1343"/>
    </row>
    <row r="172" ht="12.75">
      <c r="I172" s="1343"/>
    </row>
    <row r="173" ht="12.75">
      <c r="I173" s="1343"/>
    </row>
    <row r="174" ht="12.75">
      <c r="I174" s="1343"/>
    </row>
    <row r="175" ht="12.75">
      <c r="I175" s="1343"/>
    </row>
    <row r="176" ht="12.75">
      <c r="I176" s="1343"/>
    </row>
    <row r="177" ht="12.75">
      <c r="I177" s="1343"/>
    </row>
    <row r="178" ht="12.75">
      <c r="I178" s="1343"/>
    </row>
    <row r="179" ht="12.75">
      <c r="I179" s="1343"/>
    </row>
    <row r="180" ht="12.75">
      <c r="I180" s="1343"/>
    </row>
    <row r="181" ht="12.75">
      <c r="I181" s="1343"/>
    </row>
    <row r="182" ht="12.75">
      <c r="I182" s="1343"/>
    </row>
    <row r="183" ht="12.75">
      <c r="I183" s="1343"/>
    </row>
    <row r="184" ht="12.75">
      <c r="I184" s="1343"/>
    </row>
    <row r="185" ht="12.75">
      <c r="I185" s="1343"/>
    </row>
    <row r="186" ht="12.75">
      <c r="I186" s="1343"/>
    </row>
    <row r="187" ht="12.75">
      <c r="I187" s="1343"/>
    </row>
    <row r="188" ht="12.75">
      <c r="I188" s="1343"/>
    </row>
    <row r="189" ht="12.75">
      <c r="I189" s="1343"/>
    </row>
    <row r="190" ht="12.75">
      <c r="I190" s="1343"/>
    </row>
    <row r="191" ht="12.75">
      <c r="I191" s="1343"/>
    </row>
    <row r="192" ht="12.75">
      <c r="I192" s="1343"/>
    </row>
    <row r="193" ht="12.75">
      <c r="I193" s="1343"/>
    </row>
    <row r="194" ht="12.75">
      <c r="I194" s="1343"/>
    </row>
    <row r="195" ht="12.75">
      <c r="I195" s="1343"/>
    </row>
    <row r="196" ht="12.75">
      <c r="I196" s="1343"/>
    </row>
    <row r="197" ht="12.75">
      <c r="I197" s="1343"/>
    </row>
    <row r="198" ht="12.75">
      <c r="I198" s="1343"/>
    </row>
    <row r="199" ht="12.75">
      <c r="I199" s="1343"/>
    </row>
    <row r="200" ht="12.75">
      <c r="I200" s="1343"/>
    </row>
    <row r="201" ht="12.75">
      <c r="I201" s="1343"/>
    </row>
    <row r="202" ht="12.75">
      <c r="I202" s="1343"/>
    </row>
  </sheetData>
  <sheetProtection password="CF53" sheet="1" formatCells="0" formatColumns="0" formatRows="0" insertColumns="0" insertRows="0" insertHyperlinks="0" deleteColumns="0" deleteRows="0" sort="0" autoFilter="0" pivotTables="0"/>
  <mergeCells count="13">
    <mergeCell ref="G4:I4"/>
    <mergeCell ref="A4:A5"/>
    <mergeCell ref="B4:B5"/>
    <mergeCell ref="C4:C5"/>
    <mergeCell ref="A2:I2"/>
    <mergeCell ref="D96:E96"/>
    <mergeCell ref="K5:K6"/>
    <mergeCell ref="J5:J6"/>
    <mergeCell ref="H1:I1"/>
    <mergeCell ref="A87:I87"/>
    <mergeCell ref="A86:C86"/>
    <mergeCell ref="H3:I3"/>
    <mergeCell ref="D4:F4"/>
  </mergeCells>
  <printOptions/>
  <pageMargins left="0.5905511811023623" right="0.3937007874015748" top="0.984251968503937" bottom="0.7874015748031497" header="0.5118110236220472" footer="0.5118110236220472"/>
  <pageSetup errors="blank" firstPageNumber="67" useFirstPageNumber="1" horizontalDpi="600" verticalDpi="600" orientation="portrait" paperSize="9" scale="98" r:id="rId1"/>
  <headerFooter alignWithMargins="0">
    <oddFooter>&amp;C&amp;P</oddFooter>
  </headerFooter>
  <colBreaks count="1" manualBreakCount="1">
    <brk id="9" max="6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M116"/>
  <sheetViews>
    <sheetView defaultGridColor="0" view="pageBreakPreview" zoomScale="142" zoomScaleSheetLayoutView="142" zoomScalePageLayoutView="0" colorId="8" workbookViewId="0" topLeftCell="A1">
      <pane ySplit="9" topLeftCell="A109" activePane="bottomLeft" state="frozen"/>
      <selection pane="topLeft" activeCell="I244" sqref="I244"/>
      <selection pane="bottomLeft" activeCell="D123" sqref="D123"/>
    </sheetView>
  </sheetViews>
  <sheetFormatPr defaultColWidth="9.00390625" defaultRowHeight="12.75"/>
  <cols>
    <col min="1" max="1" width="12.25390625" style="247" customWidth="1"/>
    <col min="2" max="2" width="9.625" style="247" customWidth="1"/>
    <col min="3" max="3" width="12.75390625" style="2" customWidth="1"/>
    <col min="4" max="5" width="13.125" style="2" customWidth="1"/>
    <col min="6" max="6" width="13.25390625" style="2" customWidth="1"/>
    <col min="7" max="7" width="12.125" style="2" customWidth="1"/>
    <col min="8" max="8" width="11.125" style="2" customWidth="1"/>
    <col min="9" max="9" width="12.625" style="2" customWidth="1"/>
    <col min="10" max="10" width="11.625" style="2" customWidth="1"/>
    <col min="11" max="11" width="10.00390625" style="2" customWidth="1"/>
    <col min="12" max="12" width="15.125" style="2" hidden="1" customWidth="1"/>
    <col min="13" max="13" width="0" style="2" hidden="1" customWidth="1"/>
    <col min="14" max="16384" width="9.125" style="2" customWidth="1"/>
  </cols>
  <sheetData>
    <row r="1" spans="1:12" ht="12.75">
      <c r="A1" s="717"/>
      <c r="B1" s="717"/>
      <c r="C1" s="718"/>
      <c r="D1" s="718"/>
      <c r="E1" s="718"/>
      <c r="F1" s="718"/>
      <c r="G1" s="718"/>
      <c r="H1" s="718"/>
      <c r="I1" s="718"/>
      <c r="J1" s="718"/>
      <c r="K1" s="719" t="s">
        <v>150</v>
      </c>
      <c r="L1" s="486"/>
    </row>
    <row r="2" spans="1:11" ht="21" customHeight="1" hidden="1">
      <c r="A2" s="717"/>
      <c r="B2" s="717"/>
      <c r="C2" s="718"/>
      <c r="D2" s="718"/>
      <c r="E2" s="718"/>
      <c r="F2" s="718"/>
      <c r="G2" s="718"/>
      <c r="H2" s="718"/>
      <c r="I2" s="718"/>
      <c r="J2" s="718"/>
      <c r="K2" s="718"/>
    </row>
    <row r="3" spans="1:11" ht="25.5" customHeight="1">
      <c r="A3" s="1475" t="s">
        <v>821</v>
      </c>
      <c r="B3" s="1475"/>
      <c r="C3" s="1475"/>
      <c r="D3" s="1475"/>
      <c r="E3" s="1475"/>
      <c r="F3" s="1475"/>
      <c r="G3" s="1475"/>
      <c r="H3" s="1475"/>
      <c r="I3" s="1475"/>
      <c r="J3" s="1475"/>
      <c r="K3" s="1475"/>
    </row>
    <row r="4" spans="1:11" ht="12" customHeight="1" thickBot="1">
      <c r="A4" s="717"/>
      <c r="B4" s="717"/>
      <c r="C4" s="718"/>
      <c r="D4" s="718"/>
      <c r="E4" s="718"/>
      <c r="F4" s="718"/>
      <c r="G4" s="718"/>
      <c r="H4" s="718"/>
      <c r="I4" s="718"/>
      <c r="J4" s="718"/>
      <c r="K4" s="349" t="s">
        <v>169</v>
      </c>
    </row>
    <row r="5" spans="1:11" s="247" customFormat="1" ht="17.25" customHeight="1">
      <c r="A5" s="1533" t="s">
        <v>171</v>
      </c>
      <c r="B5" s="1539" t="s">
        <v>170</v>
      </c>
      <c r="C5" s="1536" t="s">
        <v>493</v>
      </c>
      <c r="D5" s="1536" t="s">
        <v>74</v>
      </c>
      <c r="E5" s="1536" t="s">
        <v>837</v>
      </c>
      <c r="F5" s="1536"/>
      <c r="G5" s="1536"/>
      <c r="H5" s="1536"/>
      <c r="I5" s="1536"/>
      <c r="J5" s="1541"/>
      <c r="K5" s="1542"/>
    </row>
    <row r="6" spans="1:12" s="247" customFormat="1" ht="17.25" customHeight="1">
      <c r="A6" s="1534"/>
      <c r="B6" s="1445"/>
      <c r="C6" s="1449"/>
      <c r="D6" s="1449"/>
      <c r="E6" s="1543" t="s">
        <v>474</v>
      </c>
      <c r="F6" s="1546" t="s">
        <v>676</v>
      </c>
      <c r="G6" s="1547"/>
      <c r="H6" s="1547"/>
      <c r="I6" s="1547"/>
      <c r="J6" s="1548"/>
      <c r="K6" s="1549" t="s">
        <v>494</v>
      </c>
      <c r="L6" s="1531" t="s">
        <v>665</v>
      </c>
    </row>
    <row r="7" spans="1:12" s="247" customFormat="1" ht="25.5" customHeight="1">
      <c r="A7" s="1535"/>
      <c r="B7" s="1540"/>
      <c r="C7" s="1537"/>
      <c r="D7" s="1538"/>
      <c r="E7" s="1544"/>
      <c r="F7" s="1538" t="s">
        <v>73</v>
      </c>
      <c r="G7" s="1538"/>
      <c r="H7" s="1538" t="s">
        <v>70</v>
      </c>
      <c r="I7" s="1552" t="s">
        <v>71</v>
      </c>
      <c r="J7" s="1543" t="s">
        <v>72</v>
      </c>
      <c r="K7" s="1550"/>
      <c r="L7" s="1531"/>
    </row>
    <row r="8" spans="1:13" s="247" customFormat="1" ht="59.25" customHeight="1">
      <c r="A8" s="1535"/>
      <c r="B8" s="1540"/>
      <c r="C8" s="1537"/>
      <c r="D8" s="1538"/>
      <c r="E8" s="1449"/>
      <c r="F8" s="720" t="s">
        <v>1598</v>
      </c>
      <c r="G8" s="721" t="s">
        <v>69</v>
      </c>
      <c r="H8" s="1538"/>
      <c r="I8" s="1553"/>
      <c r="J8" s="1449"/>
      <c r="K8" s="1551"/>
      <c r="M8" s="722" t="s">
        <v>1174</v>
      </c>
    </row>
    <row r="9" spans="1:11" s="592" customFormat="1" ht="9" customHeight="1">
      <c r="A9" s="723">
        <v>1</v>
      </c>
      <c r="B9" s="724">
        <v>2</v>
      </c>
      <c r="C9" s="725">
        <v>3</v>
      </c>
      <c r="D9" s="725">
        <v>4</v>
      </c>
      <c r="E9" s="725">
        <v>5</v>
      </c>
      <c r="F9" s="725">
        <v>6</v>
      </c>
      <c r="G9" s="725">
        <v>7</v>
      </c>
      <c r="H9" s="725">
        <v>8</v>
      </c>
      <c r="I9" s="725">
        <v>9</v>
      </c>
      <c r="J9" s="725">
        <v>10</v>
      </c>
      <c r="K9" s="726">
        <v>11</v>
      </c>
    </row>
    <row r="10" spans="1:11" s="750" customFormat="1" ht="19.5" customHeight="1">
      <c r="A10" s="1383" t="s">
        <v>172</v>
      </c>
      <c r="B10" s="1384" t="s">
        <v>575</v>
      </c>
      <c r="C10" s="727">
        <f>SUM(C12,C14,C16,C18,C20,C22,C24,C26,C28,C30,C32,C34,C36,C38,C40,C42,C44,C46,C48,C50,C52,C54,C56,C58,C60)</f>
        <v>21262118.740000002</v>
      </c>
      <c r="D10" s="727">
        <f aca="true" t="shared" si="0" ref="D10:K10">SUM(D12,D14,D16,D18,D20,D22,D24,D26,D28,D30,D32,D34,D36,D38,D40,D42,D44,D46,D48,D50,D52,D54,D56,D58,D60)</f>
        <v>21262118.740000002</v>
      </c>
      <c r="E10" s="727">
        <f t="shared" si="0"/>
        <v>21262118.740000002</v>
      </c>
      <c r="F10" s="727">
        <f t="shared" si="0"/>
        <v>1314876</v>
      </c>
      <c r="G10" s="727">
        <f t="shared" si="0"/>
        <v>175920.72</v>
      </c>
      <c r="H10" s="727">
        <f t="shared" si="0"/>
        <v>289104</v>
      </c>
      <c r="I10" s="727">
        <f t="shared" si="0"/>
        <v>19482218.02</v>
      </c>
      <c r="J10" s="727">
        <f t="shared" si="0"/>
        <v>0</v>
      </c>
      <c r="K10" s="749">
        <f t="shared" si="0"/>
        <v>0</v>
      </c>
    </row>
    <row r="11" spans="1:12" s="493" customFormat="1" ht="19.5" customHeight="1">
      <c r="A11" s="751" t="s">
        <v>173</v>
      </c>
      <c r="B11" s="728" t="s">
        <v>575</v>
      </c>
      <c r="C11" s="729">
        <f>SUM(C13,C15,C17,C19,C21,C23,C25,C27,C29,C31,C33,C35,C37,C39,C41,C43,C45,C47,C49,C51,C53,C55,C57,C59,C61)</f>
        <v>12275508</v>
      </c>
      <c r="D11" s="729">
        <f aca="true" t="shared" si="1" ref="D11:K11">SUM(D13,D15,D17,D19,D21,D23,D25,D27,D29,D31,D33,D35,D37,D39,D41,D43,D45,D47,D49,D51,D53,D55,D57,D59,D61)</f>
        <v>11741019.51</v>
      </c>
      <c r="E11" s="729">
        <f t="shared" si="1"/>
        <v>11741019.51</v>
      </c>
      <c r="F11" s="729">
        <f t="shared" si="1"/>
        <v>743207.7899999999</v>
      </c>
      <c r="G11" s="729">
        <f t="shared" si="1"/>
        <v>113256.05</v>
      </c>
      <c r="H11" s="729">
        <f t="shared" si="1"/>
        <v>134408</v>
      </c>
      <c r="I11" s="729">
        <f t="shared" si="1"/>
        <v>10750147.67</v>
      </c>
      <c r="J11" s="729">
        <f t="shared" si="1"/>
        <v>0</v>
      </c>
      <c r="K11" s="752">
        <f t="shared" si="1"/>
        <v>0</v>
      </c>
      <c r="L11" s="753">
        <f>SUM(L13,L15,L17,L19,L23,L25,L27,L29,L35,L37,L41,L43,L45,L47,L49,L51,L53,L55)</f>
        <v>0</v>
      </c>
    </row>
    <row r="12" spans="1:11" s="750" customFormat="1" ht="19.5" customHeight="1">
      <c r="A12" s="758" t="s">
        <v>172</v>
      </c>
      <c r="B12" s="730" t="s">
        <v>1083</v>
      </c>
      <c r="C12" s="731">
        <f>SUM(6DOCHODY!E14)</f>
        <v>19838.33</v>
      </c>
      <c r="D12" s="731">
        <f aca="true" t="shared" si="2" ref="D12:D21">SUM(E12,K12)</f>
        <v>19838.33</v>
      </c>
      <c r="E12" s="731">
        <f aca="true" t="shared" si="3" ref="E12:E17">SUM(F12,G12,H12,I12,J12)</f>
        <v>19838.33</v>
      </c>
      <c r="F12" s="731">
        <v>0</v>
      </c>
      <c r="G12" s="731">
        <v>19838.33</v>
      </c>
      <c r="H12" s="731">
        <v>0</v>
      </c>
      <c r="I12" s="731">
        <v>0</v>
      </c>
      <c r="J12" s="759">
        <v>0</v>
      </c>
      <c r="K12" s="760">
        <v>0</v>
      </c>
    </row>
    <row r="13" spans="1:11" ht="19.5" customHeight="1">
      <c r="A13" s="761" t="s">
        <v>173</v>
      </c>
      <c r="B13" s="732" t="s">
        <v>1083</v>
      </c>
      <c r="C13" s="733">
        <f>SUM(6DOCHODY!F14)</f>
        <v>19838.33</v>
      </c>
      <c r="D13" s="733">
        <f t="shared" si="2"/>
        <v>19838.33</v>
      </c>
      <c r="E13" s="734">
        <f t="shared" si="3"/>
        <v>19838.33</v>
      </c>
      <c r="F13" s="733">
        <v>0</v>
      </c>
      <c r="G13" s="733">
        <v>19838.33</v>
      </c>
      <c r="H13" s="733">
        <v>0</v>
      </c>
      <c r="I13" s="733">
        <v>0</v>
      </c>
      <c r="J13" s="762">
        <v>0</v>
      </c>
      <c r="K13" s="763">
        <v>0</v>
      </c>
    </row>
    <row r="14" spans="1:11" s="750" customFormat="1" ht="19.5" customHeight="1">
      <c r="A14" s="758" t="s">
        <v>172</v>
      </c>
      <c r="B14" s="735">
        <v>75011</v>
      </c>
      <c r="C14" s="731">
        <f>SUM(6DOCHODY!E125)</f>
        <v>394529</v>
      </c>
      <c r="D14" s="731">
        <f t="shared" si="2"/>
        <v>394529</v>
      </c>
      <c r="E14" s="731">
        <f t="shared" si="3"/>
        <v>394529</v>
      </c>
      <c r="F14" s="731">
        <v>394529</v>
      </c>
      <c r="G14" s="731">
        <v>0</v>
      </c>
      <c r="H14" s="731">
        <v>0</v>
      </c>
      <c r="I14" s="731">
        <v>0</v>
      </c>
      <c r="J14" s="759">
        <v>0</v>
      </c>
      <c r="K14" s="760">
        <v>0</v>
      </c>
    </row>
    <row r="15" spans="1:11" ht="19.5" customHeight="1">
      <c r="A15" s="761" t="s">
        <v>173</v>
      </c>
      <c r="B15" s="269">
        <v>75011</v>
      </c>
      <c r="C15" s="733">
        <f>SUM(6DOCHODY!F125)</f>
        <v>313052</v>
      </c>
      <c r="D15" s="733">
        <f t="shared" si="2"/>
        <v>244276.08</v>
      </c>
      <c r="E15" s="734">
        <f t="shared" si="3"/>
        <v>244276.08</v>
      </c>
      <c r="F15" s="733">
        <v>244276.08</v>
      </c>
      <c r="G15" s="733">
        <v>0</v>
      </c>
      <c r="H15" s="733">
        <v>0</v>
      </c>
      <c r="I15" s="733">
        <v>0</v>
      </c>
      <c r="J15" s="762">
        <v>0</v>
      </c>
      <c r="K15" s="763">
        <v>0</v>
      </c>
    </row>
    <row r="16" spans="1:11" s="750" customFormat="1" ht="19.5" customHeight="1" hidden="1">
      <c r="A16" s="758" t="s">
        <v>172</v>
      </c>
      <c r="B16" s="735">
        <v>75056</v>
      </c>
      <c r="C16" s="731">
        <f>SUM(6DOCHODY!E146)</f>
        <v>0</v>
      </c>
      <c r="D16" s="731">
        <f t="shared" si="2"/>
        <v>0</v>
      </c>
      <c r="E16" s="731">
        <f t="shared" si="3"/>
        <v>0</v>
      </c>
      <c r="F16" s="731">
        <v>0</v>
      </c>
      <c r="G16" s="731">
        <v>0</v>
      </c>
      <c r="H16" s="731">
        <v>0</v>
      </c>
      <c r="I16" s="731">
        <v>0</v>
      </c>
      <c r="J16" s="759">
        <v>0</v>
      </c>
      <c r="K16" s="760">
        <v>0</v>
      </c>
    </row>
    <row r="17" spans="1:11" ht="19.5" customHeight="1" hidden="1">
      <c r="A17" s="761" t="s">
        <v>173</v>
      </c>
      <c r="B17" s="269">
        <v>75056</v>
      </c>
      <c r="C17" s="733">
        <f>SUM(6DOCHODY!F146)</f>
        <v>0</v>
      </c>
      <c r="D17" s="733">
        <f t="shared" si="2"/>
        <v>0</v>
      </c>
      <c r="E17" s="734">
        <f t="shared" si="3"/>
        <v>0</v>
      </c>
      <c r="F17" s="733">
        <v>0</v>
      </c>
      <c r="G17" s="733">
        <v>0</v>
      </c>
      <c r="H17" s="733">
        <v>0</v>
      </c>
      <c r="I17" s="733">
        <v>0</v>
      </c>
      <c r="J17" s="762">
        <v>0</v>
      </c>
      <c r="K17" s="763">
        <v>0</v>
      </c>
    </row>
    <row r="18" spans="1:11" s="750" customFormat="1" ht="19.5" customHeight="1">
      <c r="A18" s="758" t="s">
        <v>172</v>
      </c>
      <c r="B18" s="735">
        <v>75101</v>
      </c>
      <c r="C18" s="731">
        <f>SUM(6DOCHODY!E171)</f>
        <v>8280</v>
      </c>
      <c r="D18" s="731">
        <f t="shared" si="2"/>
        <v>8280</v>
      </c>
      <c r="E18" s="731">
        <f>SUM(F18,G18,H18,I18,J18)</f>
        <v>8280</v>
      </c>
      <c r="F18" s="731">
        <v>8280</v>
      </c>
      <c r="G18" s="731">
        <v>0</v>
      </c>
      <c r="H18" s="731">
        <v>0</v>
      </c>
      <c r="I18" s="731">
        <v>0</v>
      </c>
      <c r="J18" s="759">
        <v>0</v>
      </c>
      <c r="K18" s="760">
        <v>0</v>
      </c>
    </row>
    <row r="19" spans="1:11" s="766" customFormat="1" ht="19.5" customHeight="1">
      <c r="A19" s="761" t="s">
        <v>173</v>
      </c>
      <c r="B19" s="736">
        <v>75101</v>
      </c>
      <c r="C19" s="734">
        <f>SUM(6DOCHODY!F171)</f>
        <v>4140</v>
      </c>
      <c r="D19" s="737">
        <f t="shared" si="2"/>
        <v>0</v>
      </c>
      <c r="E19" s="734">
        <f>SUM(F19,G19,H19,I19,J19)</f>
        <v>0</v>
      </c>
      <c r="F19" s="737">
        <v>0</v>
      </c>
      <c r="G19" s="737">
        <v>0</v>
      </c>
      <c r="H19" s="737">
        <v>0</v>
      </c>
      <c r="I19" s="737">
        <v>0</v>
      </c>
      <c r="J19" s="764">
        <v>0</v>
      </c>
      <c r="K19" s="765">
        <v>0</v>
      </c>
    </row>
    <row r="20" spans="1:11" s="750" customFormat="1" ht="19.5" customHeight="1" hidden="1">
      <c r="A20" s="758" t="s">
        <v>172</v>
      </c>
      <c r="B20" s="735">
        <v>75107</v>
      </c>
      <c r="C20" s="731">
        <f>SUM(6DOCHODY!E173)</f>
        <v>0</v>
      </c>
      <c r="D20" s="731">
        <f t="shared" si="2"/>
        <v>0</v>
      </c>
      <c r="E20" s="731">
        <f>SUM(F20,G20,H20,I20,J20)</f>
        <v>0</v>
      </c>
      <c r="F20" s="731">
        <v>0</v>
      </c>
      <c r="G20" s="731">
        <v>0</v>
      </c>
      <c r="H20" s="731">
        <v>0</v>
      </c>
      <c r="I20" s="731">
        <v>0</v>
      </c>
      <c r="J20" s="759">
        <v>0</v>
      </c>
      <c r="K20" s="760">
        <v>0</v>
      </c>
    </row>
    <row r="21" spans="1:11" s="766" customFormat="1" ht="19.5" customHeight="1" hidden="1">
      <c r="A21" s="761" t="s">
        <v>173</v>
      </c>
      <c r="B21" s="736">
        <v>75107</v>
      </c>
      <c r="C21" s="734">
        <f>SUM(6DOCHODY!F173)</f>
        <v>0</v>
      </c>
      <c r="D21" s="737">
        <f t="shared" si="2"/>
        <v>0</v>
      </c>
      <c r="E21" s="734">
        <f>SUM(F21,G21,H21,I21,J21)</f>
        <v>0</v>
      </c>
      <c r="F21" s="737">
        <v>0</v>
      </c>
      <c r="G21" s="737">
        <v>0</v>
      </c>
      <c r="H21" s="737">
        <v>0</v>
      </c>
      <c r="I21" s="737">
        <v>0</v>
      </c>
      <c r="J21" s="764">
        <v>0</v>
      </c>
      <c r="K21" s="765">
        <v>0</v>
      </c>
    </row>
    <row r="22" spans="1:11" s="750" customFormat="1" ht="19.5" customHeight="1" hidden="1">
      <c r="A22" s="758" t="s">
        <v>172</v>
      </c>
      <c r="B22" s="735">
        <v>75108</v>
      </c>
      <c r="C22" s="731">
        <f>6DOCHODY!E175</f>
        <v>0</v>
      </c>
      <c r="D22" s="731">
        <f aca="true" t="shared" si="4" ref="D22:D35">SUM(E22,K22)</f>
        <v>0</v>
      </c>
      <c r="E22" s="731">
        <f aca="true" t="shared" si="5" ref="E22:E29">SUM(F22,G22,H22,I22,J22)</f>
        <v>0</v>
      </c>
      <c r="F22" s="731">
        <v>0</v>
      </c>
      <c r="G22" s="731">
        <v>0</v>
      </c>
      <c r="H22" s="731">
        <v>0</v>
      </c>
      <c r="I22" s="731">
        <v>0</v>
      </c>
      <c r="J22" s="759">
        <v>0</v>
      </c>
      <c r="K22" s="760">
        <v>0</v>
      </c>
    </row>
    <row r="23" spans="1:11" s="766" customFormat="1" ht="19.5" customHeight="1" hidden="1">
      <c r="A23" s="761" t="s">
        <v>173</v>
      </c>
      <c r="B23" s="736">
        <v>75108</v>
      </c>
      <c r="C23" s="734">
        <f>6DOCHODY!F175</f>
        <v>0</v>
      </c>
      <c r="D23" s="737">
        <f t="shared" si="4"/>
        <v>0</v>
      </c>
      <c r="E23" s="734">
        <f t="shared" si="5"/>
        <v>0</v>
      </c>
      <c r="F23" s="737">
        <v>0</v>
      </c>
      <c r="G23" s="737">
        <v>0</v>
      </c>
      <c r="H23" s="737">
        <v>0</v>
      </c>
      <c r="I23" s="737">
        <v>0</v>
      </c>
      <c r="J23" s="764">
        <v>0</v>
      </c>
      <c r="K23" s="765">
        <v>0</v>
      </c>
    </row>
    <row r="24" spans="1:11" s="750" customFormat="1" ht="19.5" customHeight="1" hidden="1">
      <c r="A24" s="758" t="s">
        <v>172</v>
      </c>
      <c r="B24" s="735">
        <v>75109</v>
      </c>
      <c r="C24" s="731">
        <f>6DOCHODY!E177</f>
        <v>0</v>
      </c>
      <c r="D24" s="731">
        <f t="shared" si="4"/>
        <v>0</v>
      </c>
      <c r="E24" s="731">
        <f t="shared" si="5"/>
        <v>0</v>
      </c>
      <c r="F24" s="731">
        <v>0</v>
      </c>
      <c r="G24" s="731">
        <v>0</v>
      </c>
      <c r="H24" s="731">
        <v>0</v>
      </c>
      <c r="I24" s="731">
        <v>0</v>
      </c>
      <c r="J24" s="759">
        <v>0</v>
      </c>
      <c r="K24" s="760">
        <v>0</v>
      </c>
    </row>
    <row r="25" spans="1:11" s="766" customFormat="1" ht="19.5" customHeight="1" hidden="1">
      <c r="A25" s="761" t="s">
        <v>173</v>
      </c>
      <c r="B25" s="736">
        <v>75109</v>
      </c>
      <c r="C25" s="734">
        <f>6DOCHODY!F177</f>
        <v>0</v>
      </c>
      <c r="D25" s="737">
        <f t="shared" si="4"/>
        <v>0</v>
      </c>
      <c r="E25" s="734">
        <f t="shared" si="5"/>
        <v>0</v>
      </c>
      <c r="F25" s="737">
        <v>0</v>
      </c>
      <c r="G25" s="737">
        <v>0</v>
      </c>
      <c r="H25" s="737">
        <v>0</v>
      </c>
      <c r="I25" s="737">
        <v>0</v>
      </c>
      <c r="J25" s="764">
        <v>0</v>
      </c>
      <c r="K25" s="765">
        <v>0</v>
      </c>
    </row>
    <row r="26" spans="1:11" s="750" customFormat="1" ht="19.5" customHeight="1" hidden="1">
      <c r="A26" s="758" t="s">
        <v>172</v>
      </c>
      <c r="B26" s="735">
        <v>75113</v>
      </c>
      <c r="C26" s="731">
        <f>6DOCHODY!E179</f>
        <v>0</v>
      </c>
      <c r="D26" s="731">
        <f t="shared" si="4"/>
        <v>0</v>
      </c>
      <c r="E26" s="731">
        <f t="shared" si="5"/>
        <v>0</v>
      </c>
      <c r="F26" s="731">
        <v>0</v>
      </c>
      <c r="G26" s="731">
        <v>0</v>
      </c>
      <c r="H26" s="731">
        <v>0</v>
      </c>
      <c r="I26" s="731">
        <v>0</v>
      </c>
      <c r="J26" s="759">
        <v>0</v>
      </c>
      <c r="K26" s="760">
        <v>0</v>
      </c>
    </row>
    <row r="27" spans="1:11" s="766" customFormat="1" ht="19.5" customHeight="1" hidden="1">
      <c r="A27" s="761" t="s">
        <v>173</v>
      </c>
      <c r="B27" s="736">
        <v>75113</v>
      </c>
      <c r="C27" s="734">
        <f>6DOCHODY!F179</f>
        <v>0</v>
      </c>
      <c r="D27" s="737">
        <f t="shared" si="4"/>
        <v>0</v>
      </c>
      <c r="E27" s="734">
        <f t="shared" si="5"/>
        <v>0</v>
      </c>
      <c r="F27" s="737">
        <v>0</v>
      </c>
      <c r="G27" s="737">
        <v>0</v>
      </c>
      <c r="H27" s="737">
        <v>0</v>
      </c>
      <c r="I27" s="737">
        <v>0</v>
      </c>
      <c r="J27" s="764">
        <v>0</v>
      </c>
      <c r="K27" s="765">
        <v>0</v>
      </c>
    </row>
    <row r="28" spans="1:11" s="750" customFormat="1" ht="19.5" customHeight="1" hidden="1">
      <c r="A28" s="767" t="s">
        <v>172</v>
      </c>
      <c r="B28" s="738">
        <v>80101</v>
      </c>
      <c r="C28" s="739">
        <f>SUM(6DOCHODY!E286)</f>
        <v>0</v>
      </c>
      <c r="D28" s="739">
        <f t="shared" si="4"/>
        <v>0</v>
      </c>
      <c r="E28" s="731">
        <f t="shared" si="5"/>
        <v>0</v>
      </c>
      <c r="F28" s="739">
        <v>0</v>
      </c>
      <c r="G28" s="739">
        <v>0</v>
      </c>
      <c r="H28" s="739">
        <v>0</v>
      </c>
      <c r="I28" s="739">
        <v>0</v>
      </c>
      <c r="J28" s="768">
        <v>0</v>
      </c>
      <c r="K28" s="769">
        <v>0</v>
      </c>
    </row>
    <row r="29" spans="1:11" ht="19.5" customHeight="1" hidden="1">
      <c r="A29" s="761" t="s">
        <v>173</v>
      </c>
      <c r="B29" s="269">
        <v>80101</v>
      </c>
      <c r="C29" s="733">
        <f>6DOCHODY!F286</f>
        <v>0</v>
      </c>
      <c r="D29" s="733">
        <f t="shared" si="4"/>
        <v>0</v>
      </c>
      <c r="E29" s="734">
        <f t="shared" si="5"/>
        <v>0</v>
      </c>
      <c r="F29" s="733">
        <v>0</v>
      </c>
      <c r="G29" s="733">
        <v>0</v>
      </c>
      <c r="H29" s="733">
        <v>0</v>
      </c>
      <c r="I29" s="733">
        <v>0</v>
      </c>
      <c r="J29" s="762">
        <v>0</v>
      </c>
      <c r="K29" s="763">
        <v>0</v>
      </c>
    </row>
    <row r="30" spans="1:11" s="750" customFormat="1" ht="19.5" customHeight="1" hidden="1">
      <c r="A30" s="767" t="s">
        <v>172</v>
      </c>
      <c r="B30" s="738">
        <v>80110</v>
      </c>
      <c r="C30" s="739">
        <f>6DOCHODY!E308</f>
        <v>0</v>
      </c>
      <c r="D30" s="739">
        <f>SUM(E30,K30)</f>
        <v>0</v>
      </c>
      <c r="E30" s="731">
        <f aca="true" t="shared" si="6" ref="E30:E55">SUM(F30,G30,H30,I30,J30)</f>
        <v>0</v>
      </c>
      <c r="F30" s="739">
        <v>0</v>
      </c>
      <c r="G30" s="739">
        <v>0</v>
      </c>
      <c r="H30" s="739">
        <v>0</v>
      </c>
      <c r="I30" s="739">
        <v>0</v>
      </c>
      <c r="J30" s="768">
        <v>0</v>
      </c>
      <c r="K30" s="769">
        <v>0</v>
      </c>
    </row>
    <row r="31" spans="1:11" ht="19.5" customHeight="1" hidden="1">
      <c r="A31" s="761" t="s">
        <v>173</v>
      </c>
      <c r="B31" s="269">
        <v>80110</v>
      </c>
      <c r="C31" s="733">
        <f>6DOCHODY!F308</f>
        <v>0</v>
      </c>
      <c r="D31" s="733">
        <f>SUM(E31,K31)</f>
        <v>0</v>
      </c>
      <c r="E31" s="734">
        <f t="shared" si="6"/>
        <v>0</v>
      </c>
      <c r="F31" s="733">
        <v>0</v>
      </c>
      <c r="G31" s="733">
        <v>0</v>
      </c>
      <c r="H31" s="733">
        <v>0</v>
      </c>
      <c r="I31" s="733">
        <v>0</v>
      </c>
      <c r="J31" s="762">
        <v>0</v>
      </c>
      <c r="K31" s="763">
        <v>0</v>
      </c>
    </row>
    <row r="32" spans="1:11" s="750" customFormat="1" ht="19.5" customHeight="1" hidden="1">
      <c r="A32" s="767" t="s">
        <v>172</v>
      </c>
      <c r="B32" s="738">
        <v>80150</v>
      </c>
      <c r="C32" s="739">
        <f>6DOCHODY!E317</f>
        <v>0</v>
      </c>
      <c r="D32" s="739">
        <f>SUM(E32,K32)</f>
        <v>0</v>
      </c>
      <c r="E32" s="731">
        <f t="shared" si="6"/>
        <v>0</v>
      </c>
      <c r="F32" s="739">
        <v>0</v>
      </c>
      <c r="G32" s="739">
        <v>0</v>
      </c>
      <c r="H32" s="739">
        <v>0</v>
      </c>
      <c r="I32" s="739">
        <v>0</v>
      </c>
      <c r="J32" s="768">
        <v>0</v>
      </c>
      <c r="K32" s="769">
        <v>0</v>
      </c>
    </row>
    <row r="33" spans="1:11" ht="19.5" customHeight="1" hidden="1">
      <c r="A33" s="761" t="s">
        <v>173</v>
      </c>
      <c r="B33" s="269">
        <v>80150</v>
      </c>
      <c r="C33" s="733">
        <f>6DOCHODY!F317</f>
        <v>0</v>
      </c>
      <c r="D33" s="733">
        <f>SUM(E33,K33)</f>
        <v>0</v>
      </c>
      <c r="E33" s="734">
        <f t="shared" si="6"/>
        <v>0</v>
      </c>
      <c r="F33" s="733">
        <v>0</v>
      </c>
      <c r="G33" s="733">
        <v>0</v>
      </c>
      <c r="H33" s="733">
        <v>0</v>
      </c>
      <c r="I33" s="733">
        <v>0</v>
      </c>
      <c r="J33" s="762">
        <v>0</v>
      </c>
      <c r="K33" s="763">
        <v>0</v>
      </c>
    </row>
    <row r="34" spans="1:11" s="750" customFormat="1" ht="19.5" customHeight="1">
      <c r="A34" s="767" t="s">
        <v>172</v>
      </c>
      <c r="B34" s="738">
        <v>85195</v>
      </c>
      <c r="C34" s="739">
        <f>SUM(6DOCHODY!E349)</f>
        <v>10488</v>
      </c>
      <c r="D34" s="739">
        <f t="shared" si="4"/>
        <v>10488</v>
      </c>
      <c r="E34" s="731">
        <f t="shared" si="6"/>
        <v>10488</v>
      </c>
      <c r="F34" s="739">
        <v>9510</v>
      </c>
      <c r="G34" s="739">
        <v>978</v>
      </c>
      <c r="H34" s="739">
        <v>0</v>
      </c>
      <c r="I34" s="739">
        <v>0</v>
      </c>
      <c r="J34" s="768">
        <v>0</v>
      </c>
      <c r="K34" s="769">
        <v>0</v>
      </c>
    </row>
    <row r="35" spans="1:11" ht="19.5" customHeight="1">
      <c r="A35" s="761" t="s">
        <v>173</v>
      </c>
      <c r="B35" s="269">
        <v>85195</v>
      </c>
      <c r="C35" s="733">
        <f>6DOCHODY!F349</f>
        <v>5244</v>
      </c>
      <c r="D35" s="733">
        <f t="shared" si="4"/>
        <v>5193.610000000001</v>
      </c>
      <c r="E35" s="734">
        <f t="shared" si="6"/>
        <v>5193.610000000001</v>
      </c>
      <c r="F35" s="733">
        <v>4939.81</v>
      </c>
      <c r="G35" s="733">
        <v>253.8</v>
      </c>
      <c r="H35" s="733">
        <v>0</v>
      </c>
      <c r="I35" s="733">
        <v>0</v>
      </c>
      <c r="J35" s="762">
        <v>0</v>
      </c>
      <c r="K35" s="763">
        <v>0</v>
      </c>
    </row>
    <row r="36" spans="1:11" s="750" customFormat="1" ht="19.5" customHeight="1">
      <c r="A36" s="767" t="s">
        <v>172</v>
      </c>
      <c r="B36" s="738">
        <v>85203</v>
      </c>
      <c r="C36" s="739">
        <f>SUM(6DOCHODY!E366)</f>
        <v>289104</v>
      </c>
      <c r="D36" s="739">
        <f aca="true" t="shared" si="7" ref="D36:D43">SUM(E36,K36)</f>
        <v>289104</v>
      </c>
      <c r="E36" s="731">
        <f t="shared" si="6"/>
        <v>289104</v>
      </c>
      <c r="F36" s="739">
        <v>0</v>
      </c>
      <c r="G36" s="739">
        <v>0</v>
      </c>
      <c r="H36" s="739">
        <v>289104</v>
      </c>
      <c r="I36" s="739">
        <v>0</v>
      </c>
      <c r="J36" s="768">
        <v>0</v>
      </c>
      <c r="K36" s="769">
        <v>0</v>
      </c>
    </row>
    <row r="37" spans="1:11" ht="19.5" customHeight="1">
      <c r="A37" s="761" t="s">
        <v>173</v>
      </c>
      <c r="B37" s="269">
        <v>85203</v>
      </c>
      <c r="C37" s="733">
        <f>SUM(6DOCHODY!F366)</f>
        <v>134408</v>
      </c>
      <c r="D37" s="733">
        <f t="shared" si="7"/>
        <v>134408</v>
      </c>
      <c r="E37" s="734">
        <f t="shared" si="6"/>
        <v>134408</v>
      </c>
      <c r="F37" s="733">
        <v>0</v>
      </c>
      <c r="G37" s="733">
        <v>0</v>
      </c>
      <c r="H37" s="733">
        <v>134408</v>
      </c>
      <c r="I37" s="733">
        <v>0</v>
      </c>
      <c r="J37" s="762">
        <v>0</v>
      </c>
      <c r="K37" s="763">
        <v>0</v>
      </c>
    </row>
    <row r="38" spans="1:11" s="750" customFormat="1" ht="19.5" customHeight="1" hidden="1">
      <c r="A38" s="758" t="s">
        <v>172</v>
      </c>
      <c r="B38" s="735">
        <v>85211</v>
      </c>
      <c r="C38" s="731">
        <f>6DOCHODY!E378</f>
        <v>0</v>
      </c>
      <c r="D38" s="731">
        <f>SUM(E38,K38)</f>
        <v>0</v>
      </c>
      <c r="E38" s="731">
        <f t="shared" si="6"/>
        <v>0</v>
      </c>
      <c r="F38" s="731">
        <v>0</v>
      </c>
      <c r="G38" s="731">
        <v>0</v>
      </c>
      <c r="H38" s="731">
        <v>0</v>
      </c>
      <c r="I38" s="731">
        <v>0</v>
      </c>
      <c r="J38" s="759">
        <v>0</v>
      </c>
      <c r="K38" s="760">
        <v>0</v>
      </c>
    </row>
    <row r="39" spans="1:11" ht="19.5" customHeight="1" hidden="1">
      <c r="A39" s="761" t="s">
        <v>173</v>
      </c>
      <c r="B39" s="269">
        <v>85211</v>
      </c>
      <c r="C39" s="733">
        <f>6DOCHODY!F378</f>
        <v>0</v>
      </c>
      <c r="D39" s="733">
        <f>SUM(E39,K39)</f>
        <v>0</v>
      </c>
      <c r="E39" s="734">
        <f t="shared" si="6"/>
        <v>0</v>
      </c>
      <c r="F39" s="733">
        <v>0</v>
      </c>
      <c r="G39" s="733">
        <v>0</v>
      </c>
      <c r="H39" s="733">
        <v>0</v>
      </c>
      <c r="I39" s="733">
        <v>0</v>
      </c>
      <c r="J39" s="762">
        <v>0</v>
      </c>
      <c r="K39" s="763">
        <v>0</v>
      </c>
    </row>
    <row r="40" spans="1:11" s="750" customFormat="1" ht="19.5" customHeight="1" hidden="1">
      <c r="A40" s="758" t="s">
        <v>172</v>
      </c>
      <c r="B40" s="735">
        <v>85212</v>
      </c>
      <c r="C40" s="731">
        <f>SUM(6DOCHODY!E384)</f>
        <v>0</v>
      </c>
      <c r="D40" s="731">
        <f t="shared" si="7"/>
        <v>0</v>
      </c>
      <c r="E40" s="731">
        <f t="shared" si="6"/>
        <v>0</v>
      </c>
      <c r="F40" s="731">
        <v>0</v>
      </c>
      <c r="G40" s="731">
        <v>0</v>
      </c>
      <c r="H40" s="731">
        <v>0</v>
      </c>
      <c r="I40" s="731">
        <v>0</v>
      </c>
      <c r="J40" s="759">
        <v>0</v>
      </c>
      <c r="K40" s="760">
        <v>0</v>
      </c>
    </row>
    <row r="41" spans="1:11" ht="19.5" customHeight="1" hidden="1">
      <c r="A41" s="761" t="s">
        <v>173</v>
      </c>
      <c r="B41" s="269">
        <v>85212</v>
      </c>
      <c r="C41" s="733">
        <f>SUM(6DOCHODY!F384)</f>
        <v>0</v>
      </c>
      <c r="D41" s="733">
        <f t="shared" si="7"/>
        <v>0</v>
      </c>
      <c r="E41" s="734">
        <f t="shared" si="6"/>
        <v>0</v>
      </c>
      <c r="F41" s="733">
        <v>0</v>
      </c>
      <c r="G41" s="733">
        <v>0</v>
      </c>
      <c r="H41" s="733">
        <v>0</v>
      </c>
      <c r="I41" s="733">
        <v>0</v>
      </c>
      <c r="J41" s="762">
        <v>0</v>
      </c>
      <c r="K41" s="763">
        <v>0</v>
      </c>
    </row>
    <row r="42" spans="1:11" s="750" customFormat="1" ht="19.5" customHeight="1">
      <c r="A42" s="758" t="s">
        <v>172</v>
      </c>
      <c r="B42" s="735">
        <v>85213</v>
      </c>
      <c r="C42" s="731">
        <f>SUM(6DOCHODY!E389)</f>
        <v>102000</v>
      </c>
      <c r="D42" s="731">
        <f t="shared" si="7"/>
        <v>102000</v>
      </c>
      <c r="E42" s="731">
        <f t="shared" si="6"/>
        <v>102000</v>
      </c>
      <c r="F42" s="731">
        <v>0</v>
      </c>
      <c r="G42" s="731">
        <v>102000</v>
      </c>
      <c r="H42" s="731">
        <v>0</v>
      </c>
      <c r="I42" s="731">
        <v>0</v>
      </c>
      <c r="J42" s="759">
        <v>0</v>
      </c>
      <c r="K42" s="760">
        <v>0</v>
      </c>
    </row>
    <row r="43" spans="1:11" ht="19.5" customHeight="1">
      <c r="A43" s="761" t="s">
        <v>173</v>
      </c>
      <c r="B43" s="269">
        <v>85213</v>
      </c>
      <c r="C43" s="733">
        <f>SUM(6DOCHODY!F389)</f>
        <v>68500</v>
      </c>
      <c r="D43" s="733">
        <f t="shared" si="7"/>
        <v>62337.06</v>
      </c>
      <c r="E43" s="734">
        <f t="shared" si="6"/>
        <v>62337.06</v>
      </c>
      <c r="F43" s="733">
        <v>0</v>
      </c>
      <c r="G43" s="733">
        <v>62337.06</v>
      </c>
      <c r="H43" s="733">
        <v>0</v>
      </c>
      <c r="I43" s="733">
        <v>0</v>
      </c>
      <c r="J43" s="762">
        <v>0</v>
      </c>
      <c r="K43" s="763">
        <v>0</v>
      </c>
    </row>
    <row r="44" spans="1:11" s="750" customFormat="1" ht="19.5" customHeight="1" hidden="1">
      <c r="A44" s="758" t="s">
        <v>172</v>
      </c>
      <c r="B44" s="735">
        <v>85214</v>
      </c>
      <c r="C44" s="731">
        <f>SUM(6DOCHODY!E396)</f>
        <v>0</v>
      </c>
      <c r="D44" s="731">
        <f aca="true" t="shared" si="8" ref="D44:D55">SUM(E44,K44)</f>
        <v>0</v>
      </c>
      <c r="E44" s="731">
        <f t="shared" si="6"/>
        <v>0</v>
      </c>
      <c r="F44" s="731">
        <v>0</v>
      </c>
      <c r="G44" s="731">
        <v>0</v>
      </c>
      <c r="H44" s="731">
        <v>0</v>
      </c>
      <c r="I44" s="731">
        <v>0</v>
      </c>
      <c r="J44" s="759">
        <v>0</v>
      </c>
      <c r="K44" s="760">
        <v>0</v>
      </c>
    </row>
    <row r="45" spans="1:11" ht="19.5" customHeight="1" hidden="1">
      <c r="A45" s="761" t="s">
        <v>173</v>
      </c>
      <c r="B45" s="269">
        <v>85214</v>
      </c>
      <c r="C45" s="733">
        <f>SUM(6DOCHODY!F396)</f>
        <v>0</v>
      </c>
      <c r="D45" s="733">
        <f t="shared" si="8"/>
        <v>0</v>
      </c>
      <c r="E45" s="734">
        <f t="shared" si="6"/>
        <v>0</v>
      </c>
      <c r="F45" s="733">
        <v>0</v>
      </c>
      <c r="G45" s="733">
        <v>0</v>
      </c>
      <c r="H45" s="733">
        <v>0</v>
      </c>
      <c r="I45" s="733">
        <v>0</v>
      </c>
      <c r="J45" s="762">
        <v>0</v>
      </c>
      <c r="K45" s="763">
        <v>0</v>
      </c>
    </row>
    <row r="46" spans="1:11" s="750" customFormat="1" ht="19.5" customHeight="1">
      <c r="A46" s="758" t="s">
        <v>172</v>
      </c>
      <c r="B46" s="735">
        <v>85215</v>
      </c>
      <c r="C46" s="731">
        <f>SUM(6DOCHODY!E401)</f>
        <v>20573.41</v>
      </c>
      <c r="D46" s="731">
        <f>SUM(E46,K46)</f>
        <v>20573.41</v>
      </c>
      <c r="E46" s="731">
        <f t="shared" si="6"/>
        <v>20573.41</v>
      </c>
      <c r="F46" s="731">
        <v>0</v>
      </c>
      <c r="G46" s="731">
        <v>403.39</v>
      </c>
      <c r="H46" s="731">
        <v>0</v>
      </c>
      <c r="I46" s="731">
        <v>20170.02</v>
      </c>
      <c r="J46" s="759">
        <v>0</v>
      </c>
      <c r="K46" s="760">
        <v>0</v>
      </c>
    </row>
    <row r="47" spans="1:11" ht="19.5" customHeight="1">
      <c r="A47" s="761" t="s">
        <v>173</v>
      </c>
      <c r="B47" s="269">
        <v>85215</v>
      </c>
      <c r="C47" s="733">
        <f>SUM(6DOCHODY!F401)</f>
        <v>15134.67</v>
      </c>
      <c r="D47" s="733">
        <f>SUM(E47,K47)</f>
        <v>14837.91</v>
      </c>
      <c r="E47" s="734">
        <f t="shared" si="6"/>
        <v>14837.91</v>
      </c>
      <c r="F47" s="733">
        <v>0</v>
      </c>
      <c r="G47" s="733">
        <v>0</v>
      </c>
      <c r="H47" s="733">
        <v>0</v>
      </c>
      <c r="I47" s="733">
        <v>14837.91</v>
      </c>
      <c r="J47" s="762">
        <v>0</v>
      </c>
      <c r="K47" s="763">
        <v>0</v>
      </c>
    </row>
    <row r="48" spans="1:11" s="750" customFormat="1" ht="19.5" customHeight="1">
      <c r="A48" s="758" t="s">
        <v>172</v>
      </c>
      <c r="B48" s="735">
        <v>85219</v>
      </c>
      <c r="C48" s="731">
        <f>6DOCHODY!E410</f>
        <v>4618</v>
      </c>
      <c r="D48" s="731">
        <f>SUM(E48,K48)</f>
        <v>4618</v>
      </c>
      <c r="E48" s="731">
        <f t="shared" si="6"/>
        <v>4618</v>
      </c>
      <c r="F48" s="731">
        <v>0</v>
      </c>
      <c r="G48" s="731">
        <v>0</v>
      </c>
      <c r="H48" s="731">
        <v>0</v>
      </c>
      <c r="I48" s="731">
        <v>4618</v>
      </c>
      <c r="J48" s="759">
        <v>0</v>
      </c>
      <c r="K48" s="760">
        <v>0</v>
      </c>
    </row>
    <row r="49" spans="1:11" ht="19.5" customHeight="1">
      <c r="A49" s="761" t="s">
        <v>173</v>
      </c>
      <c r="B49" s="269">
        <v>85219</v>
      </c>
      <c r="C49" s="733">
        <f>6DOCHODY!F410</f>
        <v>4618</v>
      </c>
      <c r="D49" s="733">
        <f>SUM(E49,K49)</f>
        <v>1950</v>
      </c>
      <c r="E49" s="734">
        <f t="shared" si="6"/>
        <v>1950</v>
      </c>
      <c r="F49" s="733">
        <v>0</v>
      </c>
      <c r="G49" s="733">
        <v>0</v>
      </c>
      <c r="H49" s="733">
        <v>0</v>
      </c>
      <c r="I49" s="733">
        <v>1950</v>
      </c>
      <c r="J49" s="762">
        <v>0</v>
      </c>
      <c r="K49" s="763">
        <v>0</v>
      </c>
    </row>
    <row r="50" spans="1:11" s="750" customFormat="1" ht="19.5" customHeight="1">
      <c r="A50" s="758" t="s">
        <v>172</v>
      </c>
      <c r="B50" s="735">
        <v>85228</v>
      </c>
      <c r="C50" s="731">
        <f>SUM(6DOCHODY!E417)</f>
        <v>132527</v>
      </c>
      <c r="D50" s="731">
        <f t="shared" si="8"/>
        <v>132527</v>
      </c>
      <c r="E50" s="731">
        <f t="shared" si="6"/>
        <v>132527</v>
      </c>
      <c r="F50" s="731">
        <v>125680</v>
      </c>
      <c r="G50" s="731">
        <v>6847</v>
      </c>
      <c r="H50" s="731">
        <v>0</v>
      </c>
      <c r="I50" s="731">
        <v>0</v>
      </c>
      <c r="J50" s="759">
        <v>0</v>
      </c>
      <c r="K50" s="760">
        <v>0</v>
      </c>
    </row>
    <row r="51" spans="1:11" ht="19.5" customHeight="1">
      <c r="A51" s="761" t="s">
        <v>173</v>
      </c>
      <c r="B51" s="269">
        <v>85228</v>
      </c>
      <c r="C51" s="733">
        <f>SUM(6DOCHODY!F417)</f>
        <v>68362</v>
      </c>
      <c r="D51" s="733">
        <f t="shared" si="8"/>
        <v>68102.64</v>
      </c>
      <c r="E51" s="734">
        <f t="shared" si="6"/>
        <v>68102.64</v>
      </c>
      <c r="F51" s="733">
        <v>63606.76</v>
      </c>
      <c r="G51" s="733">
        <v>4495.88</v>
      </c>
      <c r="H51" s="733">
        <v>0</v>
      </c>
      <c r="I51" s="733">
        <v>0</v>
      </c>
      <c r="J51" s="762">
        <v>0</v>
      </c>
      <c r="K51" s="763">
        <v>0</v>
      </c>
    </row>
    <row r="52" spans="1:11" s="750" customFormat="1" ht="19.5" customHeight="1" hidden="1">
      <c r="A52" s="758" t="s">
        <v>172</v>
      </c>
      <c r="B52" s="735">
        <v>85278</v>
      </c>
      <c r="C52" s="731">
        <f>SUM(6DOCHODY!E423)</f>
        <v>0</v>
      </c>
      <c r="D52" s="731">
        <f t="shared" si="8"/>
        <v>0</v>
      </c>
      <c r="E52" s="731">
        <f t="shared" si="6"/>
        <v>0</v>
      </c>
      <c r="F52" s="731">
        <v>0</v>
      </c>
      <c r="G52" s="731">
        <v>0</v>
      </c>
      <c r="H52" s="731">
        <v>0</v>
      </c>
      <c r="I52" s="731">
        <v>0</v>
      </c>
      <c r="J52" s="759">
        <v>0</v>
      </c>
      <c r="K52" s="760">
        <v>0</v>
      </c>
    </row>
    <row r="53" spans="1:11" ht="19.5" customHeight="1" hidden="1">
      <c r="A53" s="761" t="s">
        <v>173</v>
      </c>
      <c r="B53" s="269">
        <v>85278</v>
      </c>
      <c r="C53" s="733">
        <f>SUM(6DOCHODY!F423)</f>
        <v>0</v>
      </c>
      <c r="D53" s="733">
        <f t="shared" si="8"/>
        <v>0</v>
      </c>
      <c r="E53" s="734">
        <f t="shared" si="6"/>
        <v>0</v>
      </c>
      <c r="F53" s="733">
        <v>0</v>
      </c>
      <c r="G53" s="733">
        <v>0</v>
      </c>
      <c r="H53" s="733">
        <v>0</v>
      </c>
      <c r="I53" s="733">
        <v>0</v>
      </c>
      <c r="J53" s="762">
        <v>0</v>
      </c>
      <c r="K53" s="763">
        <v>0</v>
      </c>
    </row>
    <row r="54" spans="1:11" s="750" customFormat="1" ht="19.5" customHeight="1" hidden="1">
      <c r="A54" s="758" t="s">
        <v>172</v>
      </c>
      <c r="B54" s="735">
        <v>85295</v>
      </c>
      <c r="C54" s="731">
        <f>6DOCHODY!E427</f>
        <v>0</v>
      </c>
      <c r="D54" s="731">
        <f t="shared" si="8"/>
        <v>0</v>
      </c>
      <c r="E54" s="731">
        <f t="shared" si="6"/>
        <v>0</v>
      </c>
      <c r="F54" s="731">
        <v>0</v>
      </c>
      <c r="G54" s="731">
        <v>0</v>
      </c>
      <c r="H54" s="731">
        <v>0</v>
      </c>
      <c r="I54" s="731">
        <v>0</v>
      </c>
      <c r="J54" s="759">
        <v>0</v>
      </c>
      <c r="K54" s="760">
        <v>0</v>
      </c>
    </row>
    <row r="55" spans="1:11" ht="19.5" customHeight="1" hidden="1">
      <c r="A55" s="761" t="s">
        <v>173</v>
      </c>
      <c r="B55" s="269">
        <v>85295</v>
      </c>
      <c r="C55" s="734">
        <f>6DOCHODY!F427</f>
        <v>0</v>
      </c>
      <c r="D55" s="733">
        <f t="shared" si="8"/>
        <v>0</v>
      </c>
      <c r="E55" s="734">
        <f t="shared" si="6"/>
        <v>0</v>
      </c>
      <c r="F55" s="733">
        <v>0</v>
      </c>
      <c r="G55" s="733">
        <v>0</v>
      </c>
      <c r="H55" s="733">
        <v>0</v>
      </c>
      <c r="I55" s="733">
        <v>0</v>
      </c>
      <c r="J55" s="762">
        <v>0</v>
      </c>
      <c r="K55" s="763">
        <v>0</v>
      </c>
    </row>
    <row r="56" spans="1:11" s="750" customFormat="1" ht="19.5" customHeight="1">
      <c r="A56" s="758" t="s">
        <v>172</v>
      </c>
      <c r="B56" s="735">
        <v>85501</v>
      </c>
      <c r="C56" s="731">
        <f>6DOCHODY!E466</f>
        <v>12878000</v>
      </c>
      <c r="D56" s="731">
        <f aca="true" t="shared" si="9" ref="D56:D61">SUM(E56,K56)</f>
        <v>12878000</v>
      </c>
      <c r="E56" s="731">
        <f aca="true" t="shared" si="10" ref="E56:E61">SUM(F56,G56,H56,I56,J56)</f>
        <v>12878000</v>
      </c>
      <c r="F56" s="731">
        <v>165588</v>
      </c>
      <c r="G56" s="731">
        <v>24412</v>
      </c>
      <c r="H56" s="731">
        <v>0</v>
      </c>
      <c r="I56" s="731">
        <v>12688000</v>
      </c>
      <c r="J56" s="759">
        <v>0</v>
      </c>
      <c r="K56" s="760">
        <v>0</v>
      </c>
    </row>
    <row r="57" spans="1:11" ht="19.5" customHeight="1">
      <c r="A57" s="761" t="s">
        <v>173</v>
      </c>
      <c r="B57" s="269">
        <v>85501</v>
      </c>
      <c r="C57" s="734">
        <f>6DOCHODY!F466</f>
        <v>7493000</v>
      </c>
      <c r="D57" s="733">
        <f t="shared" si="9"/>
        <v>7251948.35</v>
      </c>
      <c r="E57" s="734">
        <f t="shared" si="10"/>
        <v>7251948.35</v>
      </c>
      <c r="F57" s="733">
        <v>77693.41</v>
      </c>
      <c r="G57" s="733">
        <v>13021.84</v>
      </c>
      <c r="H57" s="733">
        <v>0</v>
      </c>
      <c r="I57" s="733">
        <v>7161233.1</v>
      </c>
      <c r="J57" s="762">
        <v>0</v>
      </c>
      <c r="K57" s="763">
        <v>0</v>
      </c>
    </row>
    <row r="58" spans="1:11" s="750" customFormat="1" ht="19.5" customHeight="1">
      <c r="A58" s="758" t="s">
        <v>172</v>
      </c>
      <c r="B58" s="735">
        <v>85502</v>
      </c>
      <c r="C58" s="731">
        <f>6DOCHODY!E472</f>
        <v>7402000</v>
      </c>
      <c r="D58" s="731">
        <f t="shared" si="9"/>
        <v>7402000</v>
      </c>
      <c r="E58" s="731">
        <f t="shared" si="10"/>
        <v>7402000</v>
      </c>
      <c r="F58" s="731">
        <v>611128</v>
      </c>
      <c r="G58" s="731">
        <v>21442</v>
      </c>
      <c r="H58" s="731">
        <v>0</v>
      </c>
      <c r="I58" s="731">
        <v>6769430</v>
      </c>
      <c r="J58" s="759">
        <v>0</v>
      </c>
      <c r="K58" s="760">
        <v>0</v>
      </c>
    </row>
    <row r="59" spans="1:11" ht="19.5" customHeight="1">
      <c r="A59" s="761" t="s">
        <v>173</v>
      </c>
      <c r="B59" s="269">
        <v>85502</v>
      </c>
      <c r="C59" s="734">
        <f>6DOCHODY!F472</f>
        <v>4149050</v>
      </c>
      <c r="D59" s="733">
        <f t="shared" si="9"/>
        <v>3938127.5300000003</v>
      </c>
      <c r="E59" s="734">
        <f t="shared" si="10"/>
        <v>3938127.5300000003</v>
      </c>
      <c r="F59" s="733">
        <v>352691.73</v>
      </c>
      <c r="G59" s="733">
        <v>13309.14</v>
      </c>
      <c r="H59" s="733">
        <v>0</v>
      </c>
      <c r="I59" s="733">
        <v>3572126.66</v>
      </c>
      <c r="J59" s="762">
        <v>0</v>
      </c>
      <c r="K59" s="763">
        <v>0</v>
      </c>
    </row>
    <row r="60" spans="1:11" s="750" customFormat="1" ht="19.5" customHeight="1">
      <c r="A60" s="758" t="s">
        <v>172</v>
      </c>
      <c r="B60" s="735">
        <v>85503</v>
      </c>
      <c r="C60" s="731">
        <f>6DOCHODY!E476</f>
        <v>161</v>
      </c>
      <c r="D60" s="731">
        <f t="shared" si="9"/>
        <v>161</v>
      </c>
      <c r="E60" s="731">
        <f t="shared" si="10"/>
        <v>161</v>
      </c>
      <c r="F60" s="731">
        <v>161</v>
      </c>
      <c r="G60" s="731">
        <v>0</v>
      </c>
      <c r="H60" s="731">
        <v>0</v>
      </c>
      <c r="I60" s="731">
        <v>0</v>
      </c>
      <c r="J60" s="759">
        <v>0</v>
      </c>
      <c r="K60" s="760">
        <v>0</v>
      </c>
    </row>
    <row r="61" spans="1:11" ht="19.5" customHeight="1">
      <c r="A61" s="761" t="s">
        <v>173</v>
      </c>
      <c r="B61" s="269">
        <v>85503</v>
      </c>
      <c r="C61" s="734">
        <f>6DOCHODY!F476</f>
        <v>161</v>
      </c>
      <c r="D61" s="733">
        <f t="shared" si="9"/>
        <v>0</v>
      </c>
      <c r="E61" s="734">
        <f t="shared" si="10"/>
        <v>0</v>
      </c>
      <c r="F61" s="733">
        <v>0</v>
      </c>
      <c r="G61" s="733">
        <v>0</v>
      </c>
      <c r="H61" s="733">
        <v>0</v>
      </c>
      <c r="I61" s="733">
        <v>0</v>
      </c>
      <c r="J61" s="762">
        <v>0</v>
      </c>
      <c r="K61" s="763">
        <v>0</v>
      </c>
    </row>
    <row r="62" spans="1:13" s="750" customFormat="1" ht="19.5" customHeight="1">
      <c r="A62" s="1383" t="s">
        <v>172</v>
      </c>
      <c r="B62" s="1384" t="s">
        <v>576</v>
      </c>
      <c r="C62" s="727">
        <f aca="true" t="shared" si="11" ref="C62:I62">SUM(C64,C66,C68,C70,C72,C74,C76,C78,C80,C82,C84,C86,C88,C90,C92,C94,C96,C98,C100,C102,C104,C106)</f>
        <v>7865610</v>
      </c>
      <c r="D62" s="727">
        <f t="shared" si="11"/>
        <v>7865610</v>
      </c>
      <c r="E62" s="727">
        <f t="shared" si="11"/>
        <v>7865487</v>
      </c>
      <c r="F62" s="727">
        <f t="shared" si="11"/>
        <v>5716534</v>
      </c>
      <c r="G62" s="727">
        <f t="shared" si="11"/>
        <v>1507987</v>
      </c>
      <c r="H62" s="727">
        <f t="shared" si="11"/>
        <v>60726</v>
      </c>
      <c r="I62" s="727">
        <f t="shared" si="11"/>
        <v>580240</v>
      </c>
      <c r="J62" s="727">
        <f aca="true" t="shared" si="12" ref="J62:M63">SUM(J64,J66,J68,J70,J72,J74,J76,J78,J80,J82,J84,J86,J88,J90,J92,J94,J96,J98,J100,J102,J104,J106)</f>
        <v>0</v>
      </c>
      <c r="K62" s="727">
        <f t="shared" si="12"/>
        <v>123</v>
      </c>
      <c r="L62" s="727">
        <f t="shared" si="12"/>
        <v>0</v>
      </c>
      <c r="M62" s="727">
        <f t="shared" si="12"/>
        <v>0</v>
      </c>
    </row>
    <row r="63" spans="1:13" s="493" customFormat="1" ht="19.5" customHeight="1">
      <c r="A63" s="751" t="s">
        <v>173</v>
      </c>
      <c r="B63" s="728" t="s">
        <v>576</v>
      </c>
      <c r="C63" s="729">
        <f aca="true" t="shared" si="13" ref="C63:I63">SUM(C65,C67,C69,C71,C73,C75,C77,C79,C81,C83,C85,C87,C89,C91,C93,C95,C97,C99,C101,C103,C105,C107)</f>
        <v>4612877.6</v>
      </c>
      <c r="D63" s="729">
        <f t="shared" si="13"/>
        <v>4041949.24</v>
      </c>
      <c r="E63" s="729">
        <f t="shared" si="13"/>
        <v>4041826.24</v>
      </c>
      <c r="F63" s="729">
        <f t="shared" si="13"/>
        <v>2873546.59</v>
      </c>
      <c r="G63" s="729">
        <f t="shared" si="13"/>
        <v>842653.57</v>
      </c>
      <c r="H63" s="729">
        <f t="shared" si="13"/>
        <v>30362.94</v>
      </c>
      <c r="I63" s="729">
        <f t="shared" si="13"/>
        <v>295263.14</v>
      </c>
      <c r="J63" s="729">
        <f t="shared" si="12"/>
        <v>0</v>
      </c>
      <c r="K63" s="729">
        <f t="shared" si="12"/>
        <v>123</v>
      </c>
      <c r="L63" s="729">
        <f t="shared" si="12"/>
        <v>0</v>
      </c>
      <c r="M63" s="729">
        <f t="shared" si="12"/>
        <v>0</v>
      </c>
    </row>
    <row r="64" spans="1:11" ht="19.5" customHeight="1" hidden="1">
      <c r="A64" s="767" t="s">
        <v>172</v>
      </c>
      <c r="B64" s="740" t="s">
        <v>1083</v>
      </c>
      <c r="C64" s="739">
        <f>6DOCHODY!E607</f>
        <v>0</v>
      </c>
      <c r="D64" s="731">
        <f>SUM(E64,K64)</f>
        <v>0</v>
      </c>
      <c r="E64" s="739">
        <f>SUM(F64,G64,H64,I64,J64)</f>
        <v>0</v>
      </c>
      <c r="F64" s="739">
        <v>0</v>
      </c>
      <c r="G64" s="739">
        <v>0</v>
      </c>
      <c r="H64" s="739">
        <v>0</v>
      </c>
      <c r="I64" s="739">
        <v>0</v>
      </c>
      <c r="J64" s="768">
        <v>0</v>
      </c>
      <c r="K64" s="769">
        <v>0</v>
      </c>
    </row>
    <row r="65" spans="1:11" ht="19.5" customHeight="1" hidden="1">
      <c r="A65" s="761" t="s">
        <v>173</v>
      </c>
      <c r="B65" s="732" t="s">
        <v>1083</v>
      </c>
      <c r="C65" s="733">
        <f>6DOCHODY!F607</f>
        <v>0</v>
      </c>
      <c r="D65" s="734">
        <f>SUM(E65,K65)</f>
        <v>0</v>
      </c>
      <c r="E65" s="741">
        <f>SUM(F65,G65,H65,I65,J65)</f>
        <v>0</v>
      </c>
      <c r="F65" s="733">
        <v>0</v>
      </c>
      <c r="G65" s="733">
        <v>0</v>
      </c>
      <c r="H65" s="733">
        <v>0</v>
      </c>
      <c r="I65" s="733">
        <v>0</v>
      </c>
      <c r="J65" s="762">
        <v>0</v>
      </c>
      <c r="K65" s="763">
        <v>0</v>
      </c>
    </row>
    <row r="66" spans="1:11" s="750" customFormat="1" ht="19.5" customHeight="1">
      <c r="A66" s="767" t="s">
        <v>172</v>
      </c>
      <c r="B66" s="740" t="s">
        <v>217</v>
      </c>
      <c r="C66" s="739">
        <f>SUM(6DOCHODY!E635,6DOCHODY!E637)</f>
        <v>214023</v>
      </c>
      <c r="D66" s="731">
        <f aca="true" t="shared" si="14" ref="D66:D98">SUM(E66,K66)</f>
        <v>214023</v>
      </c>
      <c r="E66" s="739">
        <f>SUM(F66,G66,H66,I66,J66)</f>
        <v>213900</v>
      </c>
      <c r="F66" s="739">
        <v>82500</v>
      </c>
      <c r="G66" s="739">
        <v>131400</v>
      </c>
      <c r="H66" s="739">
        <v>0</v>
      </c>
      <c r="I66" s="739">
        <v>0</v>
      </c>
      <c r="J66" s="768">
        <v>0</v>
      </c>
      <c r="K66" s="769">
        <v>123</v>
      </c>
    </row>
    <row r="67" spans="1:11" ht="19.5" customHeight="1">
      <c r="A67" s="761" t="s">
        <v>173</v>
      </c>
      <c r="B67" s="732" t="s">
        <v>217</v>
      </c>
      <c r="C67" s="733">
        <f>SUM(6DOCHODY!F635,6DOCHODY!F637)</f>
        <v>169721</v>
      </c>
      <c r="D67" s="734">
        <f>SUM(E67,K67)</f>
        <v>144041.03999999998</v>
      </c>
      <c r="E67" s="741">
        <f aca="true" t="shared" si="15" ref="E67:E107">SUM(F67,G67,H67,I67,J67)</f>
        <v>143918.03999999998</v>
      </c>
      <c r="F67" s="733">
        <v>47198</v>
      </c>
      <c r="G67" s="733">
        <v>96720.04</v>
      </c>
      <c r="H67" s="733">
        <v>0</v>
      </c>
      <c r="I67" s="733">
        <v>0</v>
      </c>
      <c r="J67" s="762">
        <v>0</v>
      </c>
      <c r="K67" s="763">
        <v>123</v>
      </c>
    </row>
    <row r="68" spans="1:11" s="750" customFormat="1" ht="19.5" customHeight="1">
      <c r="A68" s="758" t="s">
        <v>172</v>
      </c>
      <c r="B68" s="730" t="s">
        <v>1310</v>
      </c>
      <c r="C68" s="731">
        <f>6DOCHODY!E641</f>
        <v>107000</v>
      </c>
      <c r="D68" s="731">
        <f>SUM(E68,K68)</f>
        <v>107000</v>
      </c>
      <c r="E68" s="739">
        <f>SUM(F68,G68,H68,I68,J68)</f>
        <v>107000</v>
      </c>
      <c r="F68" s="731">
        <v>29000</v>
      </c>
      <c r="G68" s="731">
        <v>78000</v>
      </c>
      <c r="H68" s="731">
        <v>0</v>
      </c>
      <c r="I68" s="731">
        <v>0</v>
      </c>
      <c r="J68" s="759">
        <v>0</v>
      </c>
      <c r="K68" s="760">
        <v>0</v>
      </c>
    </row>
    <row r="69" spans="1:11" ht="19.5" customHeight="1">
      <c r="A69" s="761" t="s">
        <v>173</v>
      </c>
      <c r="B69" s="732" t="s">
        <v>1310</v>
      </c>
      <c r="C69" s="734">
        <f>6DOCHODY!F641</f>
        <v>15000</v>
      </c>
      <c r="D69" s="734">
        <f>SUM(E69,K69)</f>
        <v>15000</v>
      </c>
      <c r="E69" s="741">
        <f>SUM(F69,G69,H69,I69,J69)</f>
        <v>15000</v>
      </c>
      <c r="F69" s="733">
        <v>15000</v>
      </c>
      <c r="G69" s="733">
        <v>0</v>
      </c>
      <c r="H69" s="733">
        <v>0</v>
      </c>
      <c r="I69" s="733">
        <v>0</v>
      </c>
      <c r="J69" s="762">
        <v>0</v>
      </c>
      <c r="K69" s="763">
        <v>0</v>
      </c>
    </row>
    <row r="70" spans="1:11" s="750" customFormat="1" ht="19.5" customHeight="1" hidden="1">
      <c r="A70" s="758" t="s">
        <v>172</v>
      </c>
      <c r="B70" s="730" t="s">
        <v>221</v>
      </c>
      <c r="C70" s="731">
        <f>SUM(6DOCHODY!E643)</f>
        <v>0</v>
      </c>
      <c r="D70" s="731">
        <f t="shared" si="14"/>
        <v>0</v>
      </c>
      <c r="E70" s="739">
        <f t="shared" si="15"/>
        <v>0</v>
      </c>
      <c r="F70" s="731">
        <v>0</v>
      </c>
      <c r="G70" s="731">
        <v>0</v>
      </c>
      <c r="H70" s="731">
        <v>0</v>
      </c>
      <c r="I70" s="731">
        <v>0</v>
      </c>
      <c r="J70" s="759">
        <v>0</v>
      </c>
      <c r="K70" s="760">
        <v>0</v>
      </c>
    </row>
    <row r="71" spans="1:11" ht="19.5" customHeight="1" hidden="1">
      <c r="A71" s="761" t="s">
        <v>173</v>
      </c>
      <c r="B71" s="732" t="s">
        <v>221</v>
      </c>
      <c r="C71" s="733">
        <f>SUM(6DOCHODY!F643)</f>
        <v>0</v>
      </c>
      <c r="D71" s="734">
        <f t="shared" si="14"/>
        <v>0</v>
      </c>
      <c r="E71" s="741">
        <f t="shared" si="15"/>
        <v>0</v>
      </c>
      <c r="F71" s="733">
        <v>0</v>
      </c>
      <c r="G71" s="733">
        <v>0</v>
      </c>
      <c r="H71" s="733">
        <v>0</v>
      </c>
      <c r="I71" s="733">
        <v>0</v>
      </c>
      <c r="J71" s="762">
        <v>0</v>
      </c>
      <c r="K71" s="763">
        <v>0</v>
      </c>
    </row>
    <row r="72" spans="1:11" s="750" customFormat="1" ht="19.5" customHeight="1" hidden="1">
      <c r="A72" s="767" t="s">
        <v>172</v>
      </c>
      <c r="B72" s="740" t="s">
        <v>222</v>
      </c>
      <c r="C72" s="739">
        <f>SUM(6DOCHODY!E649)</f>
        <v>0</v>
      </c>
      <c r="D72" s="739">
        <f t="shared" si="14"/>
        <v>0</v>
      </c>
      <c r="E72" s="739">
        <f t="shared" si="15"/>
        <v>0</v>
      </c>
      <c r="F72" s="739">
        <v>0</v>
      </c>
      <c r="G72" s="739">
        <v>0</v>
      </c>
      <c r="H72" s="739">
        <v>0</v>
      </c>
      <c r="I72" s="739">
        <v>0</v>
      </c>
      <c r="J72" s="768">
        <v>0</v>
      </c>
      <c r="K72" s="769">
        <v>0</v>
      </c>
    </row>
    <row r="73" spans="1:11" ht="19.5" customHeight="1" hidden="1">
      <c r="A73" s="761" t="s">
        <v>173</v>
      </c>
      <c r="B73" s="732" t="s">
        <v>222</v>
      </c>
      <c r="C73" s="733">
        <f>SUM(6DOCHODY!F649)</f>
        <v>0</v>
      </c>
      <c r="D73" s="734">
        <f t="shared" si="14"/>
        <v>0</v>
      </c>
      <c r="E73" s="741">
        <f t="shared" si="15"/>
        <v>0</v>
      </c>
      <c r="F73" s="733">
        <v>0</v>
      </c>
      <c r="G73" s="733">
        <v>0</v>
      </c>
      <c r="H73" s="733">
        <v>0</v>
      </c>
      <c r="I73" s="733">
        <v>0</v>
      </c>
      <c r="J73" s="762">
        <v>0</v>
      </c>
      <c r="K73" s="763">
        <v>0</v>
      </c>
    </row>
    <row r="74" spans="1:11" s="750" customFormat="1" ht="19.5" customHeight="1">
      <c r="A74" s="758" t="s">
        <v>172</v>
      </c>
      <c r="B74" s="730" t="s">
        <v>224</v>
      </c>
      <c r="C74" s="731">
        <f>SUM(6DOCHODY!E656,6DOCHODY!E657)</f>
        <v>383000</v>
      </c>
      <c r="D74" s="731">
        <f t="shared" si="14"/>
        <v>383000</v>
      </c>
      <c r="E74" s="739">
        <f t="shared" si="15"/>
        <v>383000</v>
      </c>
      <c r="F74" s="731">
        <v>360830</v>
      </c>
      <c r="G74" s="731">
        <v>21220</v>
      </c>
      <c r="H74" s="731">
        <v>0</v>
      </c>
      <c r="I74" s="731">
        <v>950</v>
      </c>
      <c r="J74" s="759">
        <v>0</v>
      </c>
      <c r="K74" s="760">
        <v>0</v>
      </c>
    </row>
    <row r="75" spans="1:11" ht="19.5" customHeight="1">
      <c r="A75" s="761" t="s">
        <v>173</v>
      </c>
      <c r="B75" s="732" t="s">
        <v>224</v>
      </c>
      <c r="C75" s="733">
        <f>SUM(6DOCHODY!F656,6DOCHODY!F657)</f>
        <v>207569.6</v>
      </c>
      <c r="D75" s="734">
        <f t="shared" si="14"/>
        <v>180600.06</v>
      </c>
      <c r="E75" s="741">
        <f t="shared" si="15"/>
        <v>180600.06</v>
      </c>
      <c r="F75" s="733">
        <v>170017.9</v>
      </c>
      <c r="G75" s="733">
        <v>10113.71</v>
      </c>
      <c r="H75" s="733">
        <v>0</v>
      </c>
      <c r="I75" s="733">
        <v>468.45</v>
      </c>
      <c r="J75" s="762">
        <v>0</v>
      </c>
      <c r="K75" s="763">
        <v>0</v>
      </c>
    </row>
    <row r="76" spans="1:11" s="750" customFormat="1" ht="19.5" customHeight="1" hidden="1">
      <c r="A76" s="758" t="s">
        <v>172</v>
      </c>
      <c r="B76" s="730" t="s">
        <v>656</v>
      </c>
      <c r="C76" s="731">
        <f>SUM(6DOCHODY!E659)</f>
        <v>0</v>
      </c>
      <c r="D76" s="731">
        <f>SUM(E76,K76)</f>
        <v>0</v>
      </c>
      <c r="E76" s="739">
        <f>SUM(F76,G76,H76,I76,J76)</f>
        <v>0</v>
      </c>
      <c r="F76" s="731">
        <v>0</v>
      </c>
      <c r="G76" s="731">
        <v>0</v>
      </c>
      <c r="H76" s="731">
        <v>0</v>
      </c>
      <c r="I76" s="731">
        <v>0</v>
      </c>
      <c r="J76" s="759">
        <v>0</v>
      </c>
      <c r="K76" s="760">
        <v>0</v>
      </c>
    </row>
    <row r="77" spans="1:11" ht="19.5" customHeight="1" hidden="1">
      <c r="A77" s="761" t="s">
        <v>173</v>
      </c>
      <c r="B77" s="732" t="s">
        <v>656</v>
      </c>
      <c r="C77" s="734">
        <f>SUM(6DOCHODY!F659)</f>
        <v>0</v>
      </c>
      <c r="D77" s="734">
        <f>SUM(E77,K77)</f>
        <v>0</v>
      </c>
      <c r="E77" s="741">
        <f>SUM(F77,G77,H77,I77,J77)</f>
        <v>0</v>
      </c>
      <c r="F77" s="733">
        <v>0</v>
      </c>
      <c r="G77" s="733">
        <v>0</v>
      </c>
      <c r="H77" s="733">
        <v>0</v>
      </c>
      <c r="I77" s="733">
        <v>0</v>
      </c>
      <c r="J77" s="762">
        <v>0</v>
      </c>
      <c r="K77" s="763">
        <v>0</v>
      </c>
    </row>
    <row r="78" spans="1:11" s="750" customFormat="1" ht="19.5" customHeight="1">
      <c r="A78" s="758" t="s">
        <v>172</v>
      </c>
      <c r="B78" s="730" t="s">
        <v>646</v>
      </c>
      <c r="C78" s="731">
        <f>SUM(6DOCHODY!E662)</f>
        <v>40300</v>
      </c>
      <c r="D78" s="731">
        <f t="shared" si="14"/>
        <v>40300</v>
      </c>
      <c r="E78" s="739">
        <f t="shared" si="15"/>
        <v>40300</v>
      </c>
      <c r="F78" s="731">
        <v>40300</v>
      </c>
      <c r="G78" s="731">
        <v>0</v>
      </c>
      <c r="H78" s="731">
        <v>0</v>
      </c>
      <c r="I78" s="731">
        <v>0</v>
      </c>
      <c r="J78" s="759">
        <v>0</v>
      </c>
      <c r="K78" s="760">
        <v>0</v>
      </c>
    </row>
    <row r="79" spans="1:11" ht="19.5" customHeight="1">
      <c r="A79" s="761" t="s">
        <v>173</v>
      </c>
      <c r="B79" s="732" t="s">
        <v>646</v>
      </c>
      <c r="C79" s="733">
        <f>SUM(6DOCHODY!F662)</f>
        <v>21700</v>
      </c>
      <c r="D79" s="734">
        <f t="shared" si="14"/>
        <v>21700</v>
      </c>
      <c r="E79" s="741">
        <f t="shared" si="15"/>
        <v>21700</v>
      </c>
      <c r="F79" s="733">
        <v>21700</v>
      </c>
      <c r="G79" s="733">
        <v>0</v>
      </c>
      <c r="H79" s="733">
        <v>0</v>
      </c>
      <c r="I79" s="733">
        <v>0</v>
      </c>
      <c r="J79" s="762">
        <v>0</v>
      </c>
      <c r="K79" s="763">
        <v>0</v>
      </c>
    </row>
    <row r="80" spans="1:11" s="750" customFormat="1" ht="19.5" customHeight="1">
      <c r="A80" s="758" t="s">
        <v>172</v>
      </c>
      <c r="B80" s="730" t="s">
        <v>2</v>
      </c>
      <c r="C80" s="731">
        <f>SUM(6DOCHODY!E670)</f>
        <v>19000</v>
      </c>
      <c r="D80" s="731">
        <f t="shared" si="14"/>
        <v>19000</v>
      </c>
      <c r="E80" s="739">
        <f t="shared" si="15"/>
        <v>19000</v>
      </c>
      <c r="F80" s="731">
        <v>9180</v>
      </c>
      <c r="G80" s="731">
        <v>9820</v>
      </c>
      <c r="H80" s="731">
        <v>0</v>
      </c>
      <c r="I80" s="731">
        <v>0</v>
      </c>
      <c r="J80" s="759">
        <v>0</v>
      </c>
      <c r="K80" s="760">
        <v>0</v>
      </c>
    </row>
    <row r="81" spans="1:11" ht="19.5" customHeight="1">
      <c r="A81" s="761" t="s">
        <v>173</v>
      </c>
      <c r="B81" s="732" t="s">
        <v>2</v>
      </c>
      <c r="C81" s="733">
        <f>SUM(6DOCHODY!F670)</f>
        <v>19000</v>
      </c>
      <c r="D81" s="734">
        <f t="shared" si="14"/>
        <v>14036.21</v>
      </c>
      <c r="E81" s="741">
        <f t="shared" si="15"/>
        <v>14036.21</v>
      </c>
      <c r="F81" s="733">
        <v>9097.65</v>
      </c>
      <c r="G81" s="733">
        <v>4938.56</v>
      </c>
      <c r="H81" s="733">
        <v>0</v>
      </c>
      <c r="I81" s="733">
        <v>0</v>
      </c>
      <c r="J81" s="762">
        <v>0</v>
      </c>
      <c r="K81" s="763">
        <v>0</v>
      </c>
    </row>
    <row r="82" spans="1:11" s="750" customFormat="1" ht="19.5" customHeight="1">
      <c r="A82" s="758" t="s">
        <v>172</v>
      </c>
      <c r="B82" s="730" t="s">
        <v>6</v>
      </c>
      <c r="C82" s="731">
        <f>SUM(6DOCHODY!E675,6DOCHODY!E677)</f>
        <v>5625211</v>
      </c>
      <c r="D82" s="731">
        <f t="shared" si="14"/>
        <v>5625211</v>
      </c>
      <c r="E82" s="739">
        <f t="shared" si="15"/>
        <v>5625211</v>
      </c>
      <c r="F82" s="731">
        <v>4922702</v>
      </c>
      <c r="G82" s="731">
        <v>457509</v>
      </c>
      <c r="H82" s="731">
        <v>0</v>
      </c>
      <c r="I82" s="731">
        <v>245000</v>
      </c>
      <c r="J82" s="759">
        <v>0</v>
      </c>
      <c r="K82" s="760">
        <v>0</v>
      </c>
    </row>
    <row r="83" spans="1:11" ht="19.5" customHeight="1">
      <c r="A83" s="761" t="s">
        <v>173</v>
      </c>
      <c r="B83" s="732" t="s">
        <v>6</v>
      </c>
      <c r="C83" s="733">
        <f>SUM(6DOCHODY!F675,6DOCHODY!F677)</f>
        <v>3441969</v>
      </c>
      <c r="D83" s="734">
        <f t="shared" si="14"/>
        <v>2956803.83</v>
      </c>
      <c r="E83" s="741">
        <f t="shared" si="15"/>
        <v>2956803.83</v>
      </c>
      <c r="F83" s="733">
        <v>2478946.48</v>
      </c>
      <c r="G83" s="733">
        <v>364799.22</v>
      </c>
      <c r="H83" s="733">
        <v>0</v>
      </c>
      <c r="I83" s="733">
        <v>113058.13</v>
      </c>
      <c r="J83" s="762">
        <v>0</v>
      </c>
      <c r="K83" s="763">
        <v>0</v>
      </c>
    </row>
    <row r="84" spans="1:11" s="750" customFormat="1" ht="19.5" customHeight="1" hidden="1">
      <c r="A84" s="758" t="s">
        <v>172</v>
      </c>
      <c r="B84" s="730" t="s">
        <v>1114</v>
      </c>
      <c r="C84" s="731">
        <f>6DOCHODY!E679</f>
        <v>0</v>
      </c>
      <c r="D84" s="731">
        <f aca="true" t="shared" si="16" ref="D84:D89">SUM(E84,K84)</f>
        <v>0</v>
      </c>
      <c r="E84" s="739">
        <f aca="true" t="shared" si="17" ref="E84:E89">SUM(F84,G84,H84,I84,J84)</f>
        <v>0</v>
      </c>
      <c r="F84" s="731">
        <v>0</v>
      </c>
      <c r="G84" s="731">
        <v>0</v>
      </c>
      <c r="H84" s="731">
        <v>0</v>
      </c>
      <c r="I84" s="731">
        <v>0</v>
      </c>
      <c r="J84" s="759">
        <v>0</v>
      </c>
      <c r="K84" s="760">
        <v>0</v>
      </c>
    </row>
    <row r="85" spans="1:11" ht="19.5" customHeight="1" hidden="1">
      <c r="A85" s="761" t="s">
        <v>173</v>
      </c>
      <c r="B85" s="732" t="s">
        <v>1114</v>
      </c>
      <c r="C85" s="733">
        <f>6DOCHODY!F679</f>
        <v>0</v>
      </c>
      <c r="D85" s="734">
        <f t="shared" si="16"/>
        <v>0</v>
      </c>
      <c r="E85" s="734">
        <f t="shared" si="17"/>
        <v>0</v>
      </c>
      <c r="F85" s="733">
        <v>0</v>
      </c>
      <c r="G85" s="733">
        <v>0</v>
      </c>
      <c r="H85" s="733">
        <v>0</v>
      </c>
      <c r="I85" s="733">
        <v>0</v>
      </c>
      <c r="J85" s="762">
        <v>0</v>
      </c>
      <c r="K85" s="763">
        <v>0</v>
      </c>
    </row>
    <row r="86" spans="1:11" s="750" customFormat="1" ht="19.5" customHeight="1">
      <c r="A86" s="758" t="s">
        <v>172</v>
      </c>
      <c r="B86" s="730" t="s">
        <v>1321</v>
      </c>
      <c r="C86" s="731">
        <f>6DOCHODY!E685</f>
        <v>125208</v>
      </c>
      <c r="D86" s="731">
        <f t="shared" si="16"/>
        <v>125208</v>
      </c>
      <c r="E86" s="739">
        <f t="shared" si="17"/>
        <v>125208</v>
      </c>
      <c r="F86" s="731">
        <v>0</v>
      </c>
      <c r="G86" s="731">
        <v>64482</v>
      </c>
      <c r="H86" s="731">
        <v>60726</v>
      </c>
      <c r="I86" s="731">
        <v>0</v>
      </c>
      <c r="J86" s="759">
        <v>0</v>
      </c>
      <c r="K86" s="760">
        <v>0</v>
      </c>
    </row>
    <row r="87" spans="1:11" ht="19.5" customHeight="1">
      <c r="A87" s="761" t="s">
        <v>173</v>
      </c>
      <c r="B87" s="732" t="s">
        <v>1321</v>
      </c>
      <c r="C87" s="733">
        <f>6DOCHODY!F685</f>
        <v>62604</v>
      </c>
      <c r="D87" s="734">
        <f t="shared" si="16"/>
        <v>57039.45</v>
      </c>
      <c r="E87" s="741">
        <f t="shared" si="17"/>
        <v>57039.45</v>
      </c>
      <c r="F87" s="733">
        <v>0</v>
      </c>
      <c r="G87" s="733">
        <v>26676.51</v>
      </c>
      <c r="H87" s="733">
        <v>30362.94</v>
      </c>
      <c r="I87" s="733">
        <v>0</v>
      </c>
      <c r="J87" s="762">
        <v>0</v>
      </c>
      <c r="K87" s="763">
        <v>0</v>
      </c>
    </row>
    <row r="88" spans="1:11" s="750" customFormat="1" ht="19.5" customHeight="1" hidden="1">
      <c r="A88" s="758" t="s">
        <v>172</v>
      </c>
      <c r="B88" s="730" t="s">
        <v>1133</v>
      </c>
      <c r="C88" s="731">
        <f>SUM(6DOCHODY!E716)</f>
        <v>0</v>
      </c>
      <c r="D88" s="731">
        <f t="shared" si="16"/>
        <v>0</v>
      </c>
      <c r="E88" s="739">
        <f t="shared" si="17"/>
        <v>0</v>
      </c>
      <c r="F88" s="731">
        <v>0</v>
      </c>
      <c r="G88" s="731">
        <v>0</v>
      </c>
      <c r="H88" s="731">
        <v>0</v>
      </c>
      <c r="I88" s="731">
        <v>0</v>
      </c>
      <c r="J88" s="759">
        <v>0</v>
      </c>
      <c r="K88" s="760">
        <v>0</v>
      </c>
    </row>
    <row r="89" spans="1:11" ht="19.5" customHeight="1" hidden="1">
      <c r="A89" s="761" t="s">
        <v>173</v>
      </c>
      <c r="B89" s="732" t="s">
        <v>1133</v>
      </c>
      <c r="C89" s="733">
        <f>SUM(6DOCHODY!F716)</f>
        <v>0</v>
      </c>
      <c r="D89" s="734">
        <f t="shared" si="16"/>
        <v>0</v>
      </c>
      <c r="E89" s="741">
        <f t="shared" si="17"/>
        <v>0</v>
      </c>
      <c r="F89" s="733">
        <v>0</v>
      </c>
      <c r="G89" s="733">
        <v>0</v>
      </c>
      <c r="H89" s="733">
        <v>0</v>
      </c>
      <c r="I89" s="733">
        <v>0</v>
      </c>
      <c r="J89" s="762">
        <v>0</v>
      </c>
      <c r="K89" s="763">
        <v>0</v>
      </c>
    </row>
    <row r="90" spans="1:11" s="750" customFormat="1" ht="19.5" customHeight="1" hidden="1">
      <c r="A90" s="758" t="s">
        <v>172</v>
      </c>
      <c r="B90" s="730" t="s">
        <v>1140</v>
      </c>
      <c r="C90" s="731">
        <f>6DOCHODY!E720</f>
        <v>0</v>
      </c>
      <c r="D90" s="731">
        <f>SUM(E90,K90)</f>
        <v>0</v>
      </c>
      <c r="E90" s="739">
        <f>SUM(F90,G90,H90,I90,J90)</f>
        <v>0</v>
      </c>
      <c r="F90" s="731">
        <v>0</v>
      </c>
      <c r="G90" s="731">
        <v>0</v>
      </c>
      <c r="H90" s="731">
        <v>0</v>
      </c>
      <c r="I90" s="731">
        <v>0</v>
      </c>
      <c r="J90" s="759">
        <v>0</v>
      </c>
      <c r="K90" s="760">
        <v>0</v>
      </c>
    </row>
    <row r="91" spans="1:11" ht="19.5" customHeight="1" hidden="1">
      <c r="A91" s="761" t="s">
        <v>173</v>
      </c>
      <c r="B91" s="732" t="s">
        <v>1140</v>
      </c>
      <c r="C91" s="733">
        <f>6DOCHODY!F720</f>
        <v>0</v>
      </c>
      <c r="D91" s="734">
        <f>SUM(E91,K91)</f>
        <v>0</v>
      </c>
      <c r="E91" s="741">
        <f>SUM(F91,G91,H91,I91,J91)</f>
        <v>0</v>
      </c>
      <c r="F91" s="733">
        <v>0</v>
      </c>
      <c r="G91" s="733">
        <v>0</v>
      </c>
      <c r="H91" s="733">
        <v>0</v>
      </c>
      <c r="I91" s="733">
        <v>0</v>
      </c>
      <c r="J91" s="762">
        <v>0</v>
      </c>
      <c r="K91" s="763">
        <v>0</v>
      </c>
    </row>
    <row r="92" spans="1:11" s="750" customFormat="1" ht="19.5" customHeight="1">
      <c r="A92" s="758" t="s">
        <v>172</v>
      </c>
      <c r="B92" s="730" t="s">
        <v>810</v>
      </c>
      <c r="C92" s="731">
        <f>SUM(6DOCHODY!E751)</f>
        <v>635000</v>
      </c>
      <c r="D92" s="731">
        <f t="shared" si="14"/>
        <v>635000</v>
      </c>
      <c r="E92" s="739">
        <f t="shared" si="15"/>
        <v>635000</v>
      </c>
      <c r="F92" s="731">
        <v>0</v>
      </c>
      <c r="G92" s="731">
        <v>635000</v>
      </c>
      <c r="H92" s="731">
        <v>0</v>
      </c>
      <c r="I92" s="731">
        <v>0</v>
      </c>
      <c r="J92" s="759">
        <v>0</v>
      </c>
      <c r="K92" s="760">
        <v>0</v>
      </c>
    </row>
    <row r="93" spans="1:11" ht="19.5" customHeight="1">
      <c r="A93" s="761" t="s">
        <v>173</v>
      </c>
      <c r="B93" s="732" t="s">
        <v>810</v>
      </c>
      <c r="C93" s="733">
        <f>SUM(6DOCHODY!F751)</f>
        <v>298996</v>
      </c>
      <c r="D93" s="734">
        <f t="shared" si="14"/>
        <v>296106.54</v>
      </c>
      <c r="E93" s="741">
        <f t="shared" si="15"/>
        <v>296106.54</v>
      </c>
      <c r="F93" s="733">
        <v>0</v>
      </c>
      <c r="G93" s="733">
        <v>296106.54</v>
      </c>
      <c r="H93" s="733">
        <v>0</v>
      </c>
      <c r="I93" s="733">
        <v>0</v>
      </c>
      <c r="J93" s="762">
        <v>0</v>
      </c>
      <c r="K93" s="763">
        <v>0</v>
      </c>
    </row>
    <row r="94" spans="1:11" s="750" customFormat="1" ht="19.5" customHeight="1" hidden="1">
      <c r="A94" s="758" t="s">
        <v>172</v>
      </c>
      <c r="B94" s="730" t="s">
        <v>526</v>
      </c>
      <c r="C94" s="731">
        <f>6DOCHODY!E773</f>
        <v>0</v>
      </c>
      <c r="D94" s="731">
        <f>SUM(E94,K94)</f>
        <v>0</v>
      </c>
      <c r="E94" s="739">
        <f>SUM(F94,G94,H94,I94,J94)</f>
        <v>0</v>
      </c>
      <c r="F94" s="731">
        <v>0</v>
      </c>
      <c r="G94" s="731">
        <v>0</v>
      </c>
      <c r="H94" s="731">
        <v>0</v>
      </c>
      <c r="I94" s="731">
        <v>0</v>
      </c>
      <c r="J94" s="759">
        <v>0</v>
      </c>
      <c r="K94" s="760">
        <v>0</v>
      </c>
    </row>
    <row r="95" spans="1:11" ht="19.5" customHeight="1" hidden="1">
      <c r="A95" s="761" t="s">
        <v>173</v>
      </c>
      <c r="B95" s="732" t="s">
        <v>526</v>
      </c>
      <c r="C95" s="733">
        <f>6DOCHODY!F773</f>
        <v>0</v>
      </c>
      <c r="D95" s="734">
        <f>SUM(E95,K95)</f>
        <v>0</v>
      </c>
      <c r="E95" s="741">
        <f>SUM(F95,G95,H95,I95,J95)</f>
        <v>0</v>
      </c>
      <c r="F95" s="733">
        <v>0</v>
      </c>
      <c r="G95" s="733">
        <v>0</v>
      </c>
      <c r="H95" s="733">
        <v>0</v>
      </c>
      <c r="I95" s="733">
        <v>0</v>
      </c>
      <c r="J95" s="762">
        <v>0</v>
      </c>
      <c r="K95" s="763">
        <v>0</v>
      </c>
    </row>
    <row r="96" spans="1:11" s="750" customFormat="1" ht="19.5" customHeight="1">
      <c r="A96" s="767" t="s">
        <v>172</v>
      </c>
      <c r="B96" s="740" t="s">
        <v>416</v>
      </c>
      <c r="C96" s="739">
        <f>SUM(6DOCHODY!E778)</f>
        <v>379268</v>
      </c>
      <c r="D96" s="731">
        <f t="shared" si="14"/>
        <v>379268</v>
      </c>
      <c r="E96" s="739">
        <f t="shared" si="15"/>
        <v>379268</v>
      </c>
      <c r="F96" s="739">
        <v>268712</v>
      </c>
      <c r="G96" s="739">
        <v>110556</v>
      </c>
      <c r="H96" s="739">
        <v>0</v>
      </c>
      <c r="I96" s="739">
        <v>0</v>
      </c>
      <c r="J96" s="768">
        <v>0</v>
      </c>
      <c r="K96" s="769">
        <v>0</v>
      </c>
    </row>
    <row r="97" spans="1:11" ht="19.5" customHeight="1">
      <c r="A97" s="761" t="s">
        <v>173</v>
      </c>
      <c r="B97" s="732" t="s">
        <v>416</v>
      </c>
      <c r="C97" s="733">
        <f>SUM(6DOCHODY!F778)</f>
        <v>192768</v>
      </c>
      <c r="D97" s="734">
        <f t="shared" si="14"/>
        <v>174286.6</v>
      </c>
      <c r="E97" s="741">
        <f t="shared" si="15"/>
        <v>174286.6</v>
      </c>
      <c r="F97" s="733">
        <v>130987.61</v>
      </c>
      <c r="G97" s="733">
        <v>43298.99</v>
      </c>
      <c r="H97" s="733">
        <v>0</v>
      </c>
      <c r="I97" s="733">
        <v>0</v>
      </c>
      <c r="J97" s="762">
        <v>0</v>
      </c>
      <c r="K97" s="763">
        <v>0</v>
      </c>
    </row>
    <row r="98" spans="1:11" s="750" customFormat="1" ht="19.5" customHeight="1" hidden="1">
      <c r="A98" s="758" t="s">
        <v>172</v>
      </c>
      <c r="B98" s="730" t="s">
        <v>33</v>
      </c>
      <c r="C98" s="731">
        <f>SUM(6DOCHODY!E789)</f>
        <v>0</v>
      </c>
      <c r="D98" s="731">
        <f t="shared" si="14"/>
        <v>0</v>
      </c>
      <c r="E98" s="739">
        <f t="shared" si="15"/>
        <v>0</v>
      </c>
      <c r="F98" s="731">
        <v>0</v>
      </c>
      <c r="G98" s="731">
        <v>0</v>
      </c>
      <c r="H98" s="731">
        <v>0</v>
      </c>
      <c r="I98" s="731">
        <v>0</v>
      </c>
      <c r="J98" s="759">
        <v>0</v>
      </c>
      <c r="K98" s="760">
        <v>0</v>
      </c>
    </row>
    <row r="99" spans="1:11" ht="19.5" customHeight="1" hidden="1">
      <c r="A99" s="761" t="s">
        <v>173</v>
      </c>
      <c r="B99" s="732" t="s">
        <v>33</v>
      </c>
      <c r="C99" s="733">
        <f>SUM(6DOCHODY!F789)</f>
        <v>0</v>
      </c>
      <c r="D99" s="734">
        <f aca="true" t="shared" si="18" ref="D99:D107">SUM(E99,K99)</f>
        <v>0</v>
      </c>
      <c r="E99" s="741">
        <f t="shared" si="15"/>
        <v>0</v>
      </c>
      <c r="F99" s="733">
        <v>0</v>
      </c>
      <c r="G99" s="733">
        <v>0</v>
      </c>
      <c r="H99" s="733">
        <v>0</v>
      </c>
      <c r="I99" s="733">
        <v>0</v>
      </c>
      <c r="J99" s="762">
        <v>0</v>
      </c>
      <c r="K99" s="763">
        <v>0</v>
      </c>
    </row>
    <row r="100" spans="1:11" s="750" customFormat="1" ht="19.5" customHeight="1" hidden="1">
      <c r="A100" s="767" t="s">
        <v>172</v>
      </c>
      <c r="B100" s="740" t="s">
        <v>1010</v>
      </c>
      <c r="C100" s="739">
        <f>SUM(6DOCHODY!E796)</f>
        <v>0</v>
      </c>
      <c r="D100" s="739">
        <f t="shared" si="18"/>
        <v>0</v>
      </c>
      <c r="E100" s="739">
        <f t="shared" si="15"/>
        <v>0</v>
      </c>
      <c r="F100" s="739">
        <v>0</v>
      </c>
      <c r="G100" s="739">
        <v>0</v>
      </c>
      <c r="H100" s="739">
        <v>0</v>
      </c>
      <c r="I100" s="739">
        <v>0</v>
      </c>
      <c r="J100" s="768">
        <v>0</v>
      </c>
      <c r="K100" s="769">
        <v>0</v>
      </c>
    </row>
    <row r="101" spans="1:11" ht="19.5" customHeight="1" hidden="1">
      <c r="A101" s="761" t="s">
        <v>173</v>
      </c>
      <c r="B101" s="732" t="s">
        <v>1010</v>
      </c>
      <c r="C101" s="733">
        <f>SUM(6DOCHODY!F796)</f>
        <v>0</v>
      </c>
      <c r="D101" s="734">
        <f t="shared" si="18"/>
        <v>0</v>
      </c>
      <c r="E101" s="741">
        <f t="shared" si="15"/>
        <v>0</v>
      </c>
      <c r="F101" s="733">
        <v>0</v>
      </c>
      <c r="G101" s="733">
        <v>0</v>
      </c>
      <c r="H101" s="733">
        <v>0</v>
      </c>
      <c r="I101" s="733">
        <v>0</v>
      </c>
      <c r="J101" s="762">
        <v>0</v>
      </c>
      <c r="K101" s="763">
        <v>0</v>
      </c>
    </row>
    <row r="102" spans="1:11" s="750" customFormat="1" ht="19.5" customHeight="1">
      <c r="A102" s="767" t="s">
        <v>172</v>
      </c>
      <c r="B102" s="740" t="s">
        <v>714</v>
      </c>
      <c r="C102" s="739">
        <f>6DOCHODY!E808</f>
        <v>6600</v>
      </c>
      <c r="D102" s="739">
        <f t="shared" si="18"/>
        <v>6600</v>
      </c>
      <c r="E102" s="739">
        <f>SUM(F102,G102,H102,I102,J102)</f>
        <v>6600</v>
      </c>
      <c r="F102" s="739">
        <v>0</v>
      </c>
      <c r="G102" s="739">
        <v>0</v>
      </c>
      <c r="H102" s="739">
        <v>0</v>
      </c>
      <c r="I102" s="739">
        <v>6600</v>
      </c>
      <c r="J102" s="768">
        <v>0</v>
      </c>
      <c r="K102" s="769">
        <v>0</v>
      </c>
    </row>
    <row r="103" spans="1:11" ht="19.5" customHeight="1">
      <c r="A103" s="761" t="s">
        <v>173</v>
      </c>
      <c r="B103" s="732" t="s">
        <v>714</v>
      </c>
      <c r="C103" s="733">
        <f>6DOCHODY!F808</f>
        <v>3600</v>
      </c>
      <c r="D103" s="734">
        <f t="shared" si="18"/>
        <v>3600</v>
      </c>
      <c r="E103" s="741">
        <f>SUM(F103,G103,H103,I103,J103)</f>
        <v>3600</v>
      </c>
      <c r="F103" s="733">
        <v>0</v>
      </c>
      <c r="G103" s="733">
        <v>0</v>
      </c>
      <c r="H103" s="733">
        <v>0</v>
      </c>
      <c r="I103" s="733">
        <v>3600</v>
      </c>
      <c r="J103" s="762">
        <v>0</v>
      </c>
      <c r="K103" s="763">
        <v>0</v>
      </c>
    </row>
    <row r="104" spans="1:11" s="750" customFormat="1" ht="19.5" customHeight="1">
      <c r="A104" s="767" t="s">
        <v>172</v>
      </c>
      <c r="B104" s="740" t="s">
        <v>1440</v>
      </c>
      <c r="C104" s="739">
        <f>6DOCHODY!E837</f>
        <v>331000</v>
      </c>
      <c r="D104" s="739">
        <f t="shared" si="18"/>
        <v>331000</v>
      </c>
      <c r="E104" s="739">
        <f>SUM(F104,G104,H104,I104,J104)</f>
        <v>331000</v>
      </c>
      <c r="F104" s="739">
        <v>3310</v>
      </c>
      <c r="G104" s="739">
        <v>0</v>
      </c>
      <c r="H104" s="739">
        <v>0</v>
      </c>
      <c r="I104" s="739">
        <v>327690</v>
      </c>
      <c r="J104" s="768">
        <v>0</v>
      </c>
      <c r="K104" s="769">
        <v>0</v>
      </c>
    </row>
    <row r="105" spans="1:11" ht="19.5" customHeight="1" thickBot="1">
      <c r="A105" s="770" t="s">
        <v>173</v>
      </c>
      <c r="B105" s="742" t="s">
        <v>1440</v>
      </c>
      <c r="C105" s="743">
        <f>6DOCHODY!F837</f>
        <v>179950</v>
      </c>
      <c r="D105" s="744">
        <f t="shared" si="18"/>
        <v>178735.51</v>
      </c>
      <c r="E105" s="744">
        <f>SUM(F105,G105,H105,I105,J105)</f>
        <v>178735.51</v>
      </c>
      <c r="F105" s="743">
        <v>598.95</v>
      </c>
      <c r="G105" s="743">
        <v>0</v>
      </c>
      <c r="H105" s="743">
        <v>0</v>
      </c>
      <c r="I105" s="743">
        <v>178136.56</v>
      </c>
      <c r="J105" s="780">
        <v>0</v>
      </c>
      <c r="K105" s="781">
        <v>0</v>
      </c>
    </row>
    <row r="106" spans="1:11" s="750" customFormat="1" ht="19.5" customHeight="1" hidden="1">
      <c r="A106" s="767" t="s">
        <v>172</v>
      </c>
      <c r="B106" s="740" t="s">
        <v>93</v>
      </c>
      <c r="C106" s="739">
        <f>6DOCHODY!E854</f>
        <v>0</v>
      </c>
      <c r="D106" s="739">
        <f t="shared" si="18"/>
        <v>0</v>
      </c>
      <c r="E106" s="739">
        <f t="shared" si="15"/>
        <v>0</v>
      </c>
      <c r="F106" s="739">
        <v>0</v>
      </c>
      <c r="G106" s="739">
        <v>0</v>
      </c>
      <c r="H106" s="739">
        <v>0</v>
      </c>
      <c r="I106" s="739">
        <v>0</v>
      </c>
      <c r="J106" s="768">
        <v>0</v>
      </c>
      <c r="K106" s="769">
        <v>0</v>
      </c>
    </row>
    <row r="107" spans="1:11" ht="19.5" customHeight="1" hidden="1" thickBot="1">
      <c r="A107" s="770" t="s">
        <v>173</v>
      </c>
      <c r="B107" s="742" t="s">
        <v>93</v>
      </c>
      <c r="C107" s="743">
        <f>6DOCHODY!F854</f>
        <v>0</v>
      </c>
      <c r="D107" s="744">
        <f t="shared" si="18"/>
        <v>0</v>
      </c>
      <c r="E107" s="744">
        <f t="shared" si="15"/>
        <v>0</v>
      </c>
      <c r="F107" s="743">
        <v>0</v>
      </c>
      <c r="G107" s="743">
        <v>0</v>
      </c>
      <c r="H107" s="743">
        <v>0</v>
      </c>
      <c r="I107" s="743">
        <v>0</v>
      </c>
      <c r="J107" s="780">
        <v>0</v>
      </c>
      <c r="K107" s="781">
        <v>0</v>
      </c>
    </row>
    <row r="108" spans="1:11" s="755" customFormat="1" ht="19.5" customHeight="1" thickTop="1">
      <c r="A108" s="1382" t="s">
        <v>573</v>
      </c>
      <c r="B108" s="745" t="s">
        <v>572</v>
      </c>
      <c r="C108" s="746">
        <f aca="true" t="shared" si="19" ref="C108:K108">SUM(C10,C62)</f>
        <v>29127728.740000002</v>
      </c>
      <c r="D108" s="746">
        <f t="shared" si="19"/>
        <v>29127728.740000002</v>
      </c>
      <c r="E108" s="746">
        <f t="shared" si="19"/>
        <v>29127605.740000002</v>
      </c>
      <c r="F108" s="746">
        <f t="shared" si="19"/>
        <v>7031410</v>
      </c>
      <c r="G108" s="746">
        <f t="shared" si="19"/>
        <v>1683907.72</v>
      </c>
      <c r="H108" s="746">
        <f t="shared" si="19"/>
        <v>349830</v>
      </c>
      <c r="I108" s="746">
        <f t="shared" si="19"/>
        <v>20062458.02</v>
      </c>
      <c r="J108" s="746">
        <f t="shared" si="19"/>
        <v>0</v>
      </c>
      <c r="K108" s="754">
        <f t="shared" si="19"/>
        <v>123</v>
      </c>
    </row>
    <row r="109" spans="1:11" s="3" customFormat="1" ht="19.5" customHeight="1" thickBot="1">
      <c r="A109" s="756" t="s">
        <v>574</v>
      </c>
      <c r="B109" s="747" t="s">
        <v>572</v>
      </c>
      <c r="C109" s="748">
        <f aca="true" t="shared" si="20" ref="C109:K109">SUM(C11,C63)</f>
        <v>16888385.6</v>
      </c>
      <c r="D109" s="748">
        <f t="shared" si="20"/>
        <v>15782968.75</v>
      </c>
      <c r="E109" s="748">
        <f t="shared" si="20"/>
        <v>15782845.75</v>
      </c>
      <c r="F109" s="748">
        <f t="shared" si="20"/>
        <v>3616754.38</v>
      </c>
      <c r="G109" s="748">
        <f t="shared" si="20"/>
        <v>955909.62</v>
      </c>
      <c r="H109" s="748">
        <f t="shared" si="20"/>
        <v>164770.94</v>
      </c>
      <c r="I109" s="748">
        <f t="shared" si="20"/>
        <v>11045410.81</v>
      </c>
      <c r="J109" s="748">
        <f t="shared" si="20"/>
        <v>0</v>
      </c>
      <c r="K109" s="757">
        <f t="shared" si="20"/>
        <v>123</v>
      </c>
    </row>
    <row r="111" ht="12.75" hidden="1">
      <c r="E111" s="263"/>
    </row>
    <row r="112" spans="1:11" ht="12.75" hidden="1">
      <c r="A112" s="1532" t="s">
        <v>1458</v>
      </c>
      <c r="B112" s="1532"/>
      <c r="C112" s="263"/>
      <c r="D112" s="263">
        <v>29127728.74</v>
      </c>
      <c r="E112" s="263">
        <v>29127605.74</v>
      </c>
      <c r="F112" s="263">
        <v>7031410</v>
      </c>
      <c r="G112" s="263">
        <v>1683907.72</v>
      </c>
      <c r="H112" s="263">
        <v>349830</v>
      </c>
      <c r="I112" s="263">
        <v>20062458.02</v>
      </c>
      <c r="J112" s="263">
        <v>0</v>
      </c>
      <c r="K112" s="263">
        <v>123</v>
      </c>
    </row>
    <row r="113" spans="1:11" ht="12.75" hidden="1">
      <c r="A113" s="1532" t="s">
        <v>661</v>
      </c>
      <c r="B113" s="1532"/>
      <c r="C113" s="263"/>
      <c r="D113" s="263">
        <v>15782968.75</v>
      </c>
      <c r="E113" s="263">
        <v>15782845.75</v>
      </c>
      <c r="F113" s="263">
        <v>3616754.38</v>
      </c>
      <c r="G113" s="263">
        <v>955909.62</v>
      </c>
      <c r="H113" s="263">
        <v>164770.94</v>
      </c>
      <c r="I113" s="263">
        <v>11045410.81</v>
      </c>
      <c r="J113" s="263">
        <v>0</v>
      </c>
      <c r="K113" s="263">
        <v>123</v>
      </c>
    </row>
    <row r="114" spans="3:11" ht="12.75" hidden="1">
      <c r="C114" s="263"/>
      <c r="D114" s="263"/>
      <c r="E114" s="263"/>
      <c r="F114" s="263"/>
      <c r="G114" s="263"/>
      <c r="H114" s="263"/>
      <c r="I114" s="263"/>
      <c r="J114" s="263"/>
      <c r="K114" s="263"/>
    </row>
    <row r="115" spans="1:11" s="371" customFormat="1" ht="17.25" customHeight="1" hidden="1">
      <c r="A115" s="1545" t="s">
        <v>1332</v>
      </c>
      <c r="B115" s="1545"/>
      <c r="D115" s="1074">
        <f>D108-D112</f>
        <v>0</v>
      </c>
      <c r="E115" s="1074">
        <f aca="true" t="shared" si="21" ref="E115:K115">E108-E112</f>
        <v>0</v>
      </c>
      <c r="F115" s="1074">
        <f t="shared" si="21"/>
        <v>0</v>
      </c>
      <c r="G115" s="1074">
        <f t="shared" si="21"/>
        <v>0</v>
      </c>
      <c r="H115" s="1074">
        <f t="shared" si="21"/>
        <v>0</v>
      </c>
      <c r="I115" s="1074">
        <f t="shared" si="21"/>
        <v>0</v>
      </c>
      <c r="J115" s="1074">
        <f t="shared" si="21"/>
        <v>0</v>
      </c>
      <c r="K115" s="1074">
        <f t="shared" si="21"/>
        <v>0</v>
      </c>
    </row>
    <row r="116" spans="1:11" s="371" customFormat="1" ht="12.75" hidden="1">
      <c r="A116" s="1545" t="s">
        <v>1333</v>
      </c>
      <c r="B116" s="1545"/>
      <c r="D116" s="1074">
        <f>D109-D113</f>
        <v>0</v>
      </c>
      <c r="E116" s="1074">
        <f aca="true" t="shared" si="22" ref="E116:K116">E109-E113</f>
        <v>0</v>
      </c>
      <c r="F116" s="1074">
        <f t="shared" si="22"/>
        <v>0</v>
      </c>
      <c r="G116" s="1074">
        <f t="shared" si="22"/>
        <v>0</v>
      </c>
      <c r="H116" s="1074">
        <f t="shared" si="22"/>
        <v>0</v>
      </c>
      <c r="I116" s="1074">
        <f t="shared" si="22"/>
        <v>0</v>
      </c>
      <c r="J116" s="1074">
        <f t="shared" si="22"/>
        <v>0</v>
      </c>
      <c r="K116" s="1074">
        <f t="shared" si="22"/>
        <v>0</v>
      </c>
    </row>
    <row r="117" ht="12.75" hidden="1"/>
    <row r="118" ht="12.75" hidden="1"/>
  </sheetData>
  <sheetProtection password="CF53" sheet="1" formatCells="0" formatColumns="0" formatRows="0" insertColumns="0" insertRows="0" insertHyperlinks="0" deleteColumns="0" deleteRows="0" sort="0" autoFilter="0" pivotTables="0"/>
  <mergeCells count="18">
    <mergeCell ref="A115:B115"/>
    <mergeCell ref="A116:B116"/>
    <mergeCell ref="F6:J6"/>
    <mergeCell ref="F7:G7"/>
    <mergeCell ref="K6:K8"/>
    <mergeCell ref="H7:H8"/>
    <mergeCell ref="I7:I8"/>
    <mergeCell ref="J7:J8"/>
    <mergeCell ref="L6:L7"/>
    <mergeCell ref="A112:B112"/>
    <mergeCell ref="A113:B113"/>
    <mergeCell ref="A3:K3"/>
    <mergeCell ref="A5:A8"/>
    <mergeCell ref="C5:C8"/>
    <mergeCell ref="D5:D8"/>
    <mergeCell ref="B5:B8"/>
    <mergeCell ref="E5:K5"/>
    <mergeCell ref="E6:E8"/>
  </mergeCells>
  <printOptions horizontalCentered="1"/>
  <pageMargins left="0.7874015748031497" right="0.7874015748031497" top="0.984251968503937" bottom="0.7874015748031497" header="0.5118110236220472" footer="0.5118110236220472"/>
  <pageSetup firstPageNumber="70" useFirstPageNumber="1" horizontalDpi="600" verticalDpi="600" orientation="landscape" paperSize="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L37"/>
  <sheetViews>
    <sheetView defaultGridColor="0" view="pageBreakPreview" zoomScale="130" zoomScaleSheetLayoutView="130" zoomScalePageLayoutView="0" colorId="8" workbookViewId="0" topLeftCell="A1">
      <pane ySplit="9" topLeftCell="A30" activePane="bottomLeft" state="frozen"/>
      <selection pane="topLeft" activeCell="I244" sqref="I244"/>
      <selection pane="bottomLeft" activeCell="L42" sqref="L42"/>
    </sheetView>
  </sheetViews>
  <sheetFormatPr defaultColWidth="9.00390625" defaultRowHeight="12.75"/>
  <cols>
    <col min="1" max="1" width="12.25390625" style="103" customWidth="1"/>
    <col min="2" max="2" width="9.625" style="103" customWidth="1"/>
    <col min="3" max="4" width="12.125" style="82" customWidth="1"/>
    <col min="5" max="5" width="13.625" style="82" customWidth="1"/>
    <col min="6" max="6" width="13.75390625" style="82" customWidth="1"/>
    <col min="7" max="7" width="12.125" style="82" customWidth="1"/>
    <col min="8" max="8" width="11.125" style="82" customWidth="1"/>
    <col min="9" max="9" width="11.00390625" style="82" customWidth="1"/>
    <col min="10" max="10" width="12.25390625" style="82" customWidth="1"/>
    <col min="11" max="11" width="11.625" style="82" customWidth="1"/>
    <col min="12" max="16384" width="9.125" style="82" customWidth="1"/>
  </cols>
  <sheetData>
    <row r="1" spans="1:12" s="2" customFormat="1" ht="12.75">
      <c r="A1" s="717"/>
      <c r="B1" s="717"/>
      <c r="C1" s="718"/>
      <c r="D1" s="718"/>
      <c r="E1" s="718"/>
      <c r="F1" s="718"/>
      <c r="G1" s="718"/>
      <c r="H1" s="718"/>
      <c r="I1" s="718"/>
      <c r="J1" s="718"/>
      <c r="K1" s="776" t="s">
        <v>625</v>
      </c>
      <c r="L1" s="486"/>
    </row>
    <row r="2" spans="1:11" s="2" customFormat="1" ht="11.25" customHeight="1">
      <c r="A2" s="717"/>
      <c r="B2" s="717"/>
      <c r="C2" s="718"/>
      <c r="D2" s="718"/>
      <c r="E2" s="718"/>
      <c r="F2" s="718"/>
      <c r="G2" s="718"/>
      <c r="H2" s="718"/>
      <c r="I2" s="718"/>
      <c r="J2" s="718"/>
      <c r="K2" s="718"/>
    </row>
    <row r="3" spans="1:11" s="2" customFormat="1" ht="25.5" customHeight="1">
      <c r="A3" s="1475" t="s">
        <v>822</v>
      </c>
      <c r="B3" s="1475"/>
      <c r="C3" s="1475"/>
      <c r="D3" s="1475"/>
      <c r="E3" s="1475"/>
      <c r="F3" s="1475"/>
      <c r="G3" s="1475"/>
      <c r="H3" s="1475"/>
      <c r="I3" s="1475"/>
      <c r="J3" s="1475"/>
      <c r="K3" s="1475"/>
    </row>
    <row r="4" spans="1:11" s="2" customFormat="1" ht="12" customHeight="1" thickBot="1">
      <c r="A4" s="717"/>
      <c r="B4" s="717"/>
      <c r="C4" s="718"/>
      <c r="D4" s="718"/>
      <c r="E4" s="718"/>
      <c r="F4" s="718"/>
      <c r="G4" s="718"/>
      <c r="H4" s="718"/>
      <c r="I4" s="718"/>
      <c r="J4" s="718"/>
      <c r="K4" s="349" t="s">
        <v>169</v>
      </c>
    </row>
    <row r="5" spans="1:11" s="247" customFormat="1" ht="12.75" customHeight="1">
      <c r="A5" s="1539" t="s">
        <v>171</v>
      </c>
      <c r="B5" s="1554" t="s">
        <v>170</v>
      </c>
      <c r="C5" s="1536" t="s">
        <v>493</v>
      </c>
      <c r="D5" s="1536" t="s">
        <v>74</v>
      </c>
      <c r="E5" s="1536" t="s">
        <v>837</v>
      </c>
      <c r="F5" s="1536"/>
      <c r="G5" s="1536"/>
      <c r="H5" s="1536"/>
      <c r="I5" s="1536"/>
      <c r="J5" s="1541"/>
      <c r="K5" s="1542"/>
    </row>
    <row r="6" spans="1:11" s="247" customFormat="1" ht="11.25" customHeight="1">
      <c r="A6" s="1445"/>
      <c r="B6" s="1555"/>
      <c r="C6" s="1449"/>
      <c r="D6" s="1449"/>
      <c r="E6" s="1543" t="s">
        <v>474</v>
      </c>
      <c r="F6" s="1546" t="s">
        <v>676</v>
      </c>
      <c r="G6" s="1547"/>
      <c r="H6" s="1547"/>
      <c r="I6" s="1547"/>
      <c r="J6" s="1548"/>
      <c r="K6" s="1549" t="s">
        <v>494</v>
      </c>
    </row>
    <row r="7" spans="1:11" s="247" customFormat="1" ht="27.75" customHeight="1">
      <c r="A7" s="1540"/>
      <c r="B7" s="1537"/>
      <c r="C7" s="1537"/>
      <c r="D7" s="1538"/>
      <c r="E7" s="1544"/>
      <c r="F7" s="1538" t="s">
        <v>73</v>
      </c>
      <c r="G7" s="1538"/>
      <c r="H7" s="1538" t="s">
        <v>70</v>
      </c>
      <c r="I7" s="1552" t="s">
        <v>71</v>
      </c>
      <c r="J7" s="1543" t="s">
        <v>72</v>
      </c>
      <c r="K7" s="1550"/>
    </row>
    <row r="8" spans="1:11" s="247" customFormat="1" ht="63" customHeight="1">
      <c r="A8" s="1540"/>
      <c r="B8" s="1537"/>
      <c r="C8" s="1537"/>
      <c r="D8" s="1538"/>
      <c r="E8" s="1449"/>
      <c r="F8" s="720" t="s">
        <v>1459</v>
      </c>
      <c r="G8" s="720" t="s">
        <v>69</v>
      </c>
      <c r="H8" s="1538"/>
      <c r="I8" s="1553"/>
      <c r="J8" s="1449"/>
      <c r="K8" s="1551"/>
    </row>
    <row r="9" spans="1:11" s="2" customFormat="1" ht="8.25" customHeight="1">
      <c r="A9" s="269">
        <v>1</v>
      </c>
      <c r="B9" s="265">
        <v>2</v>
      </c>
      <c r="C9" s="265">
        <v>3</v>
      </c>
      <c r="D9" s="265">
        <v>4</v>
      </c>
      <c r="E9" s="265">
        <v>5</v>
      </c>
      <c r="F9" s="265">
        <v>6</v>
      </c>
      <c r="G9" s="265">
        <v>7</v>
      </c>
      <c r="H9" s="265">
        <v>8</v>
      </c>
      <c r="I9" s="265">
        <v>9</v>
      </c>
      <c r="J9" s="265">
        <v>10</v>
      </c>
      <c r="K9" s="784">
        <v>11</v>
      </c>
    </row>
    <row r="10" spans="1:11" s="750" customFormat="1" ht="18.75" customHeight="1">
      <c r="A10" s="779" t="s">
        <v>172</v>
      </c>
      <c r="B10" s="777" t="s">
        <v>575</v>
      </c>
      <c r="C10" s="727">
        <f>SUM(C12,C14,C16,C18,C20)</f>
        <v>65400</v>
      </c>
      <c r="D10" s="727">
        <f aca="true" t="shared" si="0" ref="D10:K10">SUM(D12,D14,D16,D18,D20)</f>
        <v>65400</v>
      </c>
      <c r="E10" s="727">
        <f t="shared" si="0"/>
        <v>65400</v>
      </c>
      <c r="F10" s="727">
        <f t="shared" si="0"/>
        <v>0</v>
      </c>
      <c r="G10" s="727">
        <f t="shared" si="0"/>
        <v>65400</v>
      </c>
      <c r="H10" s="727">
        <f t="shared" si="0"/>
        <v>0</v>
      </c>
      <c r="I10" s="727">
        <f t="shared" si="0"/>
        <v>0</v>
      </c>
      <c r="J10" s="727">
        <f t="shared" si="0"/>
        <v>0</v>
      </c>
      <c r="K10" s="749">
        <f t="shared" si="0"/>
        <v>0</v>
      </c>
    </row>
    <row r="11" spans="1:11" s="2" customFormat="1" ht="18.75" customHeight="1">
      <c r="A11" s="785" t="s">
        <v>173</v>
      </c>
      <c r="B11" s="786" t="s">
        <v>575</v>
      </c>
      <c r="C11" s="787">
        <f>SUM(C13,C15,C17,C19,C21)</f>
        <v>0</v>
      </c>
      <c r="D11" s="787">
        <f aca="true" t="shared" si="1" ref="D11:K11">SUM(D13,D15,D17,D19,D21)</f>
        <v>0</v>
      </c>
      <c r="E11" s="787">
        <f t="shared" si="1"/>
        <v>0</v>
      </c>
      <c r="F11" s="787">
        <f t="shared" si="1"/>
        <v>0</v>
      </c>
      <c r="G11" s="787">
        <f t="shared" si="1"/>
        <v>0</v>
      </c>
      <c r="H11" s="787">
        <f t="shared" si="1"/>
        <v>0</v>
      </c>
      <c r="I11" s="787">
        <f t="shared" si="1"/>
        <v>0</v>
      </c>
      <c r="J11" s="787">
        <f t="shared" si="1"/>
        <v>0</v>
      </c>
      <c r="K11" s="788">
        <f t="shared" si="1"/>
        <v>0</v>
      </c>
    </row>
    <row r="12" spans="1:11" s="750" customFormat="1" ht="18.75" customHeight="1" hidden="1">
      <c r="A12" s="735" t="s">
        <v>172</v>
      </c>
      <c r="B12" s="789">
        <v>70005</v>
      </c>
      <c r="C12" s="790">
        <f>SUM(6DOCHODY!E105)</f>
        <v>0</v>
      </c>
      <c r="D12" s="731">
        <f aca="true" t="shared" si="2" ref="D12:D19">SUM(E12,K12)</f>
        <v>0</v>
      </c>
      <c r="E12" s="731">
        <f aca="true" t="shared" si="3" ref="E12:E19">SUM(F12,G12,H12,I12,J12)</f>
        <v>0</v>
      </c>
      <c r="F12" s="731">
        <v>0</v>
      </c>
      <c r="G12" s="731">
        <v>0</v>
      </c>
      <c r="H12" s="731">
        <v>0</v>
      </c>
      <c r="I12" s="731">
        <v>0</v>
      </c>
      <c r="J12" s="759">
        <v>0</v>
      </c>
      <c r="K12" s="760">
        <v>0</v>
      </c>
    </row>
    <row r="13" spans="1:11" s="2" customFormat="1" ht="18.75" customHeight="1" hidden="1">
      <c r="A13" s="269" t="s">
        <v>173</v>
      </c>
      <c r="B13" s="265">
        <v>70005</v>
      </c>
      <c r="C13" s="266">
        <f>SUM(6DOCHODY!F105)</f>
        <v>0</v>
      </c>
      <c r="D13" s="734">
        <f t="shared" si="2"/>
        <v>0</v>
      </c>
      <c r="E13" s="734">
        <f t="shared" si="3"/>
        <v>0</v>
      </c>
      <c r="F13" s="733">
        <v>0</v>
      </c>
      <c r="G13" s="733">
        <v>0</v>
      </c>
      <c r="H13" s="733">
        <v>0</v>
      </c>
      <c r="I13" s="733">
        <v>0</v>
      </c>
      <c r="J13" s="762">
        <v>0</v>
      </c>
      <c r="K13" s="763">
        <v>0</v>
      </c>
    </row>
    <row r="14" spans="1:11" s="750" customFormat="1" ht="18.75" customHeight="1">
      <c r="A14" s="735" t="s">
        <v>172</v>
      </c>
      <c r="B14" s="789">
        <v>70095</v>
      </c>
      <c r="C14" s="791">
        <f>6DOCHODY!E109</f>
        <v>59500</v>
      </c>
      <c r="D14" s="731">
        <f>SUM(E14,K14)</f>
        <v>59500</v>
      </c>
      <c r="E14" s="731">
        <f>SUM(F14,G14,H14,I14,J14)</f>
        <v>59500</v>
      </c>
      <c r="F14" s="731">
        <v>0</v>
      </c>
      <c r="G14" s="731">
        <v>59500</v>
      </c>
      <c r="H14" s="731">
        <v>0</v>
      </c>
      <c r="I14" s="731">
        <v>0</v>
      </c>
      <c r="J14" s="759">
        <v>0</v>
      </c>
      <c r="K14" s="760">
        <v>0</v>
      </c>
    </row>
    <row r="15" spans="1:11" s="2" customFormat="1" ht="18.75" customHeight="1">
      <c r="A15" s="269" t="s">
        <v>173</v>
      </c>
      <c r="B15" s="265">
        <v>70095</v>
      </c>
      <c r="C15" s="266">
        <f>6DOCHODY!F109</f>
        <v>0</v>
      </c>
      <c r="D15" s="734">
        <f>SUM(E15,K15)</f>
        <v>0</v>
      </c>
      <c r="E15" s="734">
        <f>SUM(F15,G15,H15,I15,J15)</f>
        <v>0</v>
      </c>
      <c r="F15" s="733">
        <v>0</v>
      </c>
      <c r="G15" s="733">
        <v>0</v>
      </c>
      <c r="H15" s="733">
        <v>0</v>
      </c>
      <c r="I15" s="733">
        <v>0</v>
      </c>
      <c r="J15" s="762">
        <v>0</v>
      </c>
      <c r="K15" s="763">
        <v>0</v>
      </c>
    </row>
    <row r="16" spans="1:11" s="750" customFormat="1" ht="18.75" customHeight="1" hidden="1">
      <c r="A16" s="735" t="s">
        <v>172</v>
      </c>
      <c r="B16" s="789">
        <v>80195</v>
      </c>
      <c r="C16" s="791">
        <f>6DOCHODY!E323</f>
        <v>0</v>
      </c>
      <c r="D16" s="731">
        <f t="shared" si="2"/>
        <v>0</v>
      </c>
      <c r="E16" s="731">
        <f t="shared" si="3"/>
        <v>0</v>
      </c>
      <c r="F16" s="731">
        <v>0</v>
      </c>
      <c r="G16" s="731">
        <v>0</v>
      </c>
      <c r="H16" s="731">
        <v>0</v>
      </c>
      <c r="I16" s="731">
        <v>0</v>
      </c>
      <c r="J16" s="759">
        <v>0</v>
      </c>
      <c r="K16" s="760">
        <v>0</v>
      </c>
    </row>
    <row r="17" spans="1:11" s="2" customFormat="1" ht="18.75" customHeight="1" hidden="1">
      <c r="A17" s="269" t="s">
        <v>173</v>
      </c>
      <c r="B17" s="265">
        <v>80195</v>
      </c>
      <c r="C17" s="266">
        <f>6DOCHODY!F323</f>
        <v>0</v>
      </c>
      <c r="D17" s="734">
        <f t="shared" si="2"/>
        <v>0</v>
      </c>
      <c r="E17" s="734">
        <f t="shared" si="3"/>
        <v>0</v>
      </c>
      <c r="F17" s="733">
        <v>0</v>
      </c>
      <c r="G17" s="733">
        <v>0</v>
      </c>
      <c r="H17" s="733">
        <v>0</v>
      </c>
      <c r="I17" s="733">
        <v>0</v>
      </c>
      <c r="J17" s="762">
        <v>0</v>
      </c>
      <c r="K17" s="763">
        <v>0</v>
      </c>
    </row>
    <row r="18" spans="1:11" s="750" customFormat="1" ht="18.75" customHeight="1" hidden="1">
      <c r="A18" s="735" t="s">
        <v>172</v>
      </c>
      <c r="B18" s="789">
        <v>85295</v>
      </c>
      <c r="C18" s="731">
        <f>SUM(6DOCHODY!E426)</f>
        <v>0</v>
      </c>
      <c r="D18" s="731">
        <f t="shared" si="2"/>
        <v>0</v>
      </c>
      <c r="E18" s="731">
        <f t="shared" si="3"/>
        <v>0</v>
      </c>
      <c r="F18" s="731">
        <v>0</v>
      </c>
      <c r="G18" s="731">
        <v>0</v>
      </c>
      <c r="H18" s="731">
        <v>0</v>
      </c>
      <c r="I18" s="731">
        <v>0</v>
      </c>
      <c r="J18" s="759">
        <v>0</v>
      </c>
      <c r="K18" s="760">
        <v>0</v>
      </c>
    </row>
    <row r="19" spans="1:11" s="766" customFormat="1" ht="18.75" customHeight="1" hidden="1">
      <c r="A19" s="269" t="s">
        <v>173</v>
      </c>
      <c r="B19" s="792">
        <v>85295</v>
      </c>
      <c r="C19" s="734">
        <f>SUM(6DOCHODY!F426)</f>
        <v>0</v>
      </c>
      <c r="D19" s="734">
        <f t="shared" si="2"/>
        <v>0</v>
      </c>
      <c r="E19" s="734">
        <f t="shared" si="3"/>
        <v>0</v>
      </c>
      <c r="F19" s="737">
        <v>0</v>
      </c>
      <c r="G19" s="737">
        <v>0</v>
      </c>
      <c r="H19" s="737">
        <v>0</v>
      </c>
      <c r="I19" s="737">
        <v>0</v>
      </c>
      <c r="J19" s="764">
        <v>0</v>
      </c>
      <c r="K19" s="765">
        <v>0</v>
      </c>
    </row>
    <row r="20" spans="1:11" s="750" customFormat="1" ht="18.75" customHeight="1">
      <c r="A20" s="735" t="s">
        <v>172</v>
      </c>
      <c r="B20" s="789">
        <v>85415</v>
      </c>
      <c r="C20" s="731">
        <f>6DOCHODY!E456</f>
        <v>5900</v>
      </c>
      <c r="D20" s="731">
        <f>SUM(E20,K20)</f>
        <v>5900</v>
      </c>
      <c r="E20" s="731">
        <f>SUM(F20,G20,H20,I20,J20)</f>
        <v>5900</v>
      </c>
      <c r="F20" s="731">
        <v>0</v>
      </c>
      <c r="G20" s="731">
        <v>5900</v>
      </c>
      <c r="H20" s="731">
        <v>0</v>
      </c>
      <c r="I20" s="731">
        <v>0</v>
      </c>
      <c r="J20" s="759">
        <v>0</v>
      </c>
      <c r="K20" s="760">
        <v>0</v>
      </c>
    </row>
    <row r="21" spans="1:11" s="766" customFormat="1" ht="18.75" customHeight="1">
      <c r="A21" s="269" t="s">
        <v>173</v>
      </c>
      <c r="B21" s="792">
        <v>85415</v>
      </c>
      <c r="C21" s="734">
        <f>6DOCHODY!F456</f>
        <v>0</v>
      </c>
      <c r="D21" s="734">
        <f>SUM(E21,K21)</f>
        <v>0</v>
      </c>
      <c r="E21" s="734">
        <f>SUM(F21,G21,H21,I21,J21)</f>
        <v>0</v>
      </c>
      <c r="F21" s="737">
        <v>0</v>
      </c>
      <c r="G21" s="737">
        <v>0</v>
      </c>
      <c r="H21" s="737">
        <v>0</v>
      </c>
      <c r="I21" s="737">
        <v>0</v>
      </c>
      <c r="J21" s="764">
        <v>0</v>
      </c>
      <c r="K21" s="765">
        <v>0</v>
      </c>
    </row>
    <row r="22" spans="1:11" s="750" customFormat="1" ht="18.75" customHeight="1">
      <c r="A22" s="779" t="s">
        <v>172</v>
      </c>
      <c r="B22" s="777" t="s">
        <v>576</v>
      </c>
      <c r="C22" s="727">
        <f>SUM(C24,C26,C28)</f>
        <v>3000</v>
      </c>
      <c r="D22" s="727">
        <f>SUM(D24,D26,D28)</f>
        <v>3000</v>
      </c>
      <c r="E22" s="727">
        <f aca="true" t="shared" si="4" ref="E22:K22">SUM(E24,E26,E28)</f>
        <v>3000</v>
      </c>
      <c r="F22" s="727">
        <f t="shared" si="4"/>
        <v>0</v>
      </c>
      <c r="G22" s="727">
        <f t="shared" si="4"/>
        <v>3000</v>
      </c>
      <c r="H22" s="727">
        <f t="shared" si="4"/>
        <v>0</v>
      </c>
      <c r="I22" s="727">
        <f t="shared" si="4"/>
        <v>0</v>
      </c>
      <c r="J22" s="727">
        <f t="shared" si="4"/>
        <v>0</v>
      </c>
      <c r="K22" s="749">
        <f t="shared" si="4"/>
        <v>0</v>
      </c>
    </row>
    <row r="23" spans="1:11" s="2" customFormat="1" ht="18.75" customHeight="1">
      <c r="A23" s="785" t="s">
        <v>173</v>
      </c>
      <c r="B23" s="786" t="s">
        <v>576</v>
      </c>
      <c r="C23" s="787">
        <f>SUM(C25,C27,C29)</f>
        <v>2163.85</v>
      </c>
      <c r="D23" s="787">
        <f>SUM(D25,D27,D29)</f>
        <v>2163.85</v>
      </c>
      <c r="E23" s="787">
        <f aca="true" t="shared" si="5" ref="E23:K23">SUM(E25,E27,E29)</f>
        <v>2163.85</v>
      </c>
      <c r="F23" s="787">
        <f t="shared" si="5"/>
        <v>0</v>
      </c>
      <c r="G23" s="787">
        <f t="shared" si="5"/>
        <v>2163.85</v>
      </c>
      <c r="H23" s="787">
        <f t="shared" si="5"/>
        <v>0</v>
      </c>
      <c r="I23" s="787">
        <f t="shared" si="5"/>
        <v>0</v>
      </c>
      <c r="J23" s="787">
        <f t="shared" si="5"/>
        <v>0</v>
      </c>
      <c r="K23" s="788">
        <f t="shared" si="5"/>
        <v>0</v>
      </c>
    </row>
    <row r="24" spans="1:11" s="750" customFormat="1" ht="18.75" customHeight="1">
      <c r="A24" s="735" t="s">
        <v>172</v>
      </c>
      <c r="B24" s="789">
        <v>75045</v>
      </c>
      <c r="C24" s="731">
        <f>SUM(6DOCHODY!E671)</f>
        <v>3000</v>
      </c>
      <c r="D24" s="739">
        <f aca="true" t="shared" si="6" ref="D24:D29">SUM(E24,K24)</f>
        <v>3000</v>
      </c>
      <c r="E24" s="731">
        <f aca="true" t="shared" si="7" ref="E24:E29">SUM(F24,G24,H24,I24,J24)</f>
        <v>3000</v>
      </c>
      <c r="F24" s="739">
        <v>0</v>
      </c>
      <c r="G24" s="739">
        <v>3000</v>
      </c>
      <c r="H24" s="739">
        <v>0</v>
      </c>
      <c r="I24" s="739">
        <v>0</v>
      </c>
      <c r="J24" s="768">
        <v>0</v>
      </c>
      <c r="K24" s="769">
        <v>0</v>
      </c>
    </row>
    <row r="25" spans="1:11" s="2" customFormat="1" ht="18.75" customHeight="1">
      <c r="A25" s="269" t="s">
        <v>173</v>
      </c>
      <c r="B25" s="265">
        <v>75045</v>
      </c>
      <c r="C25" s="737">
        <f>SUM(6DOCHODY!F671)</f>
        <v>2163.85</v>
      </c>
      <c r="D25" s="733">
        <f t="shared" si="6"/>
        <v>2163.85</v>
      </c>
      <c r="E25" s="734">
        <f t="shared" si="7"/>
        <v>2163.85</v>
      </c>
      <c r="F25" s="733">
        <v>0</v>
      </c>
      <c r="G25" s="733">
        <v>2163.85</v>
      </c>
      <c r="H25" s="733">
        <v>0</v>
      </c>
      <c r="I25" s="733">
        <v>0</v>
      </c>
      <c r="J25" s="762">
        <v>0</v>
      </c>
      <c r="K25" s="763">
        <v>0</v>
      </c>
    </row>
    <row r="26" spans="1:11" s="750" customFormat="1" ht="18.75" customHeight="1" hidden="1">
      <c r="A26" s="738" t="s">
        <v>172</v>
      </c>
      <c r="B26" s="793" t="s">
        <v>526</v>
      </c>
      <c r="C26" s="739">
        <f>6DOCHODY!E771</f>
        <v>0</v>
      </c>
      <c r="D26" s="739">
        <f t="shared" si="6"/>
        <v>0</v>
      </c>
      <c r="E26" s="731">
        <f t="shared" si="7"/>
        <v>0</v>
      </c>
      <c r="F26" s="739">
        <v>0</v>
      </c>
      <c r="G26" s="739">
        <v>0</v>
      </c>
      <c r="H26" s="739">
        <v>0</v>
      </c>
      <c r="I26" s="739">
        <v>0</v>
      </c>
      <c r="J26" s="768">
        <v>0</v>
      </c>
      <c r="K26" s="769">
        <v>0</v>
      </c>
    </row>
    <row r="27" spans="1:11" s="2" customFormat="1" ht="18.75" customHeight="1" hidden="1" thickBot="1">
      <c r="A27" s="794" t="s">
        <v>173</v>
      </c>
      <c r="B27" s="795" t="s">
        <v>526</v>
      </c>
      <c r="C27" s="743">
        <f>6DOCHODY!F771</f>
        <v>0</v>
      </c>
      <c r="D27" s="743">
        <f t="shared" si="6"/>
        <v>0</v>
      </c>
      <c r="E27" s="744">
        <f t="shared" si="7"/>
        <v>0</v>
      </c>
      <c r="F27" s="743">
        <v>0</v>
      </c>
      <c r="G27" s="743">
        <v>0</v>
      </c>
      <c r="H27" s="743">
        <v>0</v>
      </c>
      <c r="I27" s="743">
        <v>0</v>
      </c>
      <c r="J27" s="780">
        <v>0</v>
      </c>
      <c r="K27" s="781">
        <v>0</v>
      </c>
    </row>
    <row r="28" spans="1:11" s="750" customFormat="1" ht="18.75" customHeight="1" hidden="1" thickTop="1">
      <c r="A28" s="738" t="s">
        <v>172</v>
      </c>
      <c r="B28" s="793" t="s">
        <v>450</v>
      </c>
      <c r="C28" s="739">
        <f>SUM(6DOCHODY!E786)</f>
        <v>0</v>
      </c>
      <c r="D28" s="739">
        <f t="shared" si="6"/>
        <v>0</v>
      </c>
      <c r="E28" s="731">
        <f t="shared" si="7"/>
        <v>0</v>
      </c>
      <c r="F28" s="739">
        <v>0</v>
      </c>
      <c r="G28" s="739">
        <v>0</v>
      </c>
      <c r="H28" s="739">
        <v>0</v>
      </c>
      <c r="I28" s="739">
        <v>0</v>
      </c>
      <c r="J28" s="768">
        <v>0</v>
      </c>
      <c r="K28" s="769">
        <v>0</v>
      </c>
    </row>
    <row r="29" spans="1:11" s="2" customFormat="1" ht="18.75" customHeight="1" hidden="1" thickBot="1">
      <c r="A29" s="794" t="s">
        <v>173</v>
      </c>
      <c r="B29" s="795" t="s">
        <v>450</v>
      </c>
      <c r="C29" s="743">
        <f>SUM(6DOCHODY!F786)</f>
        <v>0</v>
      </c>
      <c r="D29" s="743">
        <f t="shared" si="6"/>
        <v>0</v>
      </c>
      <c r="E29" s="744">
        <f t="shared" si="7"/>
        <v>0</v>
      </c>
      <c r="F29" s="743">
        <v>0</v>
      </c>
      <c r="G29" s="743">
        <v>0</v>
      </c>
      <c r="H29" s="743">
        <v>0</v>
      </c>
      <c r="I29" s="743">
        <v>0</v>
      </c>
      <c r="J29" s="780">
        <v>0</v>
      </c>
      <c r="K29" s="781">
        <v>0</v>
      </c>
    </row>
    <row r="30" spans="1:11" s="755" customFormat="1" ht="18.75" customHeight="1">
      <c r="A30" s="772" t="s">
        <v>573</v>
      </c>
      <c r="B30" s="775" t="s">
        <v>572</v>
      </c>
      <c r="C30" s="746">
        <f aca="true" t="shared" si="8" ref="C30:K30">SUM(C10,C22)</f>
        <v>68400</v>
      </c>
      <c r="D30" s="746">
        <f t="shared" si="8"/>
        <v>68400</v>
      </c>
      <c r="E30" s="746">
        <f t="shared" si="8"/>
        <v>68400</v>
      </c>
      <c r="F30" s="746">
        <f t="shared" si="8"/>
        <v>0</v>
      </c>
      <c r="G30" s="746">
        <f t="shared" si="8"/>
        <v>68400</v>
      </c>
      <c r="H30" s="746">
        <f t="shared" si="8"/>
        <v>0</v>
      </c>
      <c r="I30" s="746">
        <f t="shared" si="8"/>
        <v>0</v>
      </c>
      <c r="J30" s="746">
        <f t="shared" si="8"/>
        <v>0</v>
      </c>
      <c r="K30" s="754">
        <f t="shared" si="8"/>
        <v>0</v>
      </c>
    </row>
    <row r="31" spans="1:11" s="3" customFormat="1" ht="18.75" customHeight="1" thickBot="1">
      <c r="A31" s="747" t="s">
        <v>574</v>
      </c>
      <c r="B31" s="796" t="s">
        <v>572</v>
      </c>
      <c r="C31" s="748">
        <f aca="true" t="shared" si="9" ref="C31:K31">SUM(C11,C23)</f>
        <v>2163.85</v>
      </c>
      <c r="D31" s="748">
        <f t="shared" si="9"/>
        <v>2163.85</v>
      </c>
      <c r="E31" s="748">
        <f t="shared" si="9"/>
        <v>2163.85</v>
      </c>
      <c r="F31" s="748">
        <f t="shared" si="9"/>
        <v>0</v>
      </c>
      <c r="G31" s="748">
        <f t="shared" si="9"/>
        <v>2163.85</v>
      </c>
      <c r="H31" s="748">
        <f t="shared" si="9"/>
        <v>0</v>
      </c>
      <c r="I31" s="748">
        <f t="shared" si="9"/>
        <v>0</v>
      </c>
      <c r="J31" s="748">
        <f t="shared" si="9"/>
        <v>0</v>
      </c>
      <c r="K31" s="757">
        <f t="shared" si="9"/>
        <v>0</v>
      </c>
    </row>
    <row r="32" spans="1:2" s="2" customFormat="1" ht="12.75">
      <c r="A32" s="247"/>
      <c r="B32" s="247"/>
    </row>
    <row r="33" spans="1:11" s="2" customFormat="1" ht="23.25" customHeight="1" hidden="1">
      <c r="A33" s="247" t="s">
        <v>550</v>
      </c>
      <c r="B33" s="247" t="s">
        <v>475</v>
      </c>
      <c r="C33" s="263"/>
      <c r="D33" s="263">
        <v>68400</v>
      </c>
      <c r="E33" s="263">
        <v>68400</v>
      </c>
      <c r="F33" s="263">
        <v>0</v>
      </c>
      <c r="G33" s="263">
        <v>68400</v>
      </c>
      <c r="H33" s="263">
        <v>0</v>
      </c>
      <c r="I33" s="263">
        <v>0</v>
      </c>
      <c r="J33" s="263">
        <v>0</v>
      </c>
      <c r="K33" s="263">
        <v>0</v>
      </c>
    </row>
    <row r="34" spans="1:11" s="2" customFormat="1" ht="23.25" customHeight="1" hidden="1">
      <c r="A34" s="247" t="s">
        <v>1030</v>
      </c>
      <c r="B34" s="247" t="s">
        <v>475</v>
      </c>
      <c r="C34" s="263"/>
      <c r="D34" s="263">
        <v>2163.85</v>
      </c>
      <c r="E34" s="263">
        <v>2163.85</v>
      </c>
      <c r="F34" s="263">
        <v>0</v>
      </c>
      <c r="G34" s="263">
        <v>2163.85</v>
      </c>
      <c r="H34" s="263">
        <v>0</v>
      </c>
      <c r="I34" s="263">
        <v>0</v>
      </c>
      <c r="J34" s="263">
        <v>0</v>
      </c>
      <c r="K34" s="263">
        <v>0</v>
      </c>
    </row>
    <row r="35" spans="1:11" s="3" customFormat="1" ht="12.75" hidden="1">
      <c r="A35" s="1"/>
      <c r="B35" s="1" t="s">
        <v>1599</v>
      </c>
      <c r="C35" s="288"/>
      <c r="D35" s="288">
        <f>D30-D33</f>
        <v>0</v>
      </c>
      <c r="E35" s="288">
        <f aca="true" t="shared" si="10" ref="E35:K35">E30-E33</f>
        <v>0</v>
      </c>
      <c r="F35" s="288">
        <f t="shared" si="10"/>
        <v>0</v>
      </c>
      <c r="G35" s="288">
        <f t="shared" si="10"/>
        <v>0</v>
      </c>
      <c r="H35" s="288">
        <f t="shared" si="10"/>
        <v>0</v>
      </c>
      <c r="I35" s="288">
        <f t="shared" si="10"/>
        <v>0</v>
      </c>
      <c r="J35" s="288">
        <f t="shared" si="10"/>
        <v>0</v>
      </c>
      <c r="K35" s="288">
        <f t="shared" si="10"/>
        <v>0</v>
      </c>
    </row>
    <row r="36" spans="1:11" s="1023" customFormat="1" ht="12.75" hidden="1">
      <c r="A36" s="982"/>
      <c r="B36" s="982" t="s">
        <v>1600</v>
      </c>
      <c r="D36" s="1401">
        <f>D31-D34</f>
        <v>0</v>
      </c>
      <c r="E36" s="1401">
        <f aca="true" t="shared" si="11" ref="E36:K36">E31-E34</f>
        <v>0</v>
      </c>
      <c r="F36" s="1401">
        <f t="shared" si="11"/>
        <v>0</v>
      </c>
      <c r="G36" s="1401">
        <f t="shared" si="11"/>
        <v>0</v>
      </c>
      <c r="H36" s="1401">
        <f t="shared" si="11"/>
        <v>0</v>
      </c>
      <c r="I36" s="1401">
        <f t="shared" si="11"/>
        <v>0</v>
      </c>
      <c r="J36" s="1401">
        <f t="shared" si="11"/>
        <v>0</v>
      </c>
      <c r="K36" s="1401">
        <f t="shared" si="11"/>
        <v>0</v>
      </c>
    </row>
    <row r="37" spans="1:4" s="2" customFormat="1" ht="12.75">
      <c r="A37" s="1532"/>
      <c r="B37" s="1532"/>
      <c r="C37" s="263"/>
      <c r="D37" s="263"/>
    </row>
  </sheetData>
  <sheetProtection password="CF53" sheet="1" formatCells="0" formatColumns="0" formatRows="0" insertColumns="0" insertRows="0" insertHyperlinks="0" deleteColumns="0" deleteRows="0" sort="0" autoFilter="0" pivotTables="0"/>
  <mergeCells count="14">
    <mergeCell ref="A3:K3"/>
    <mergeCell ref="A5:A8"/>
    <mergeCell ref="C5:C8"/>
    <mergeCell ref="D5:D8"/>
    <mergeCell ref="B5:B8"/>
    <mergeCell ref="E5:K5"/>
    <mergeCell ref="K6:K8"/>
    <mergeCell ref="A37:B37"/>
    <mergeCell ref="H7:H8"/>
    <mergeCell ref="I7:I8"/>
    <mergeCell ref="F7:G7"/>
    <mergeCell ref="E6:E8"/>
    <mergeCell ref="F6:J6"/>
    <mergeCell ref="J7:J8"/>
  </mergeCells>
  <printOptions horizontalCentered="1"/>
  <pageMargins left="0.7874015748031497" right="0.7874015748031497" top="0.984251968503937" bottom="0.7874015748031497" header="0.5118110236220472" footer="0.5118110236220472"/>
  <pageSetup firstPageNumber="74" useFirstPageNumber="1" horizontalDpi="600" verticalDpi="600" orientation="landscape" paperSize="9" r:id="rId1"/>
  <headerFooter alignWithMargins="0">
    <oddFooter>&amp;C&amp;P</oddFooter>
  </headerFooter>
  <rowBreaks count="1" manualBreakCount="1">
    <brk id="31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K26"/>
  <sheetViews>
    <sheetView defaultGridColor="0" view="pageBreakPreview" zoomScale="136" zoomScaleSheetLayoutView="136" zoomScalePageLayoutView="0" colorId="8" workbookViewId="0" topLeftCell="A10">
      <selection activeCell="J34" sqref="J34"/>
    </sheetView>
  </sheetViews>
  <sheetFormatPr defaultColWidth="9.00390625" defaultRowHeight="12.75"/>
  <cols>
    <col min="1" max="1" width="13.00390625" style="247" customWidth="1"/>
    <col min="2" max="2" width="11.25390625" style="247" customWidth="1"/>
    <col min="3" max="3" width="11.125" style="2" customWidth="1"/>
    <col min="4" max="4" width="12.625" style="2" customWidth="1"/>
    <col min="5" max="5" width="12.00390625" style="2" customWidth="1"/>
    <col min="6" max="6" width="13.75390625" style="2" customWidth="1"/>
    <col min="7" max="7" width="12.625" style="2" customWidth="1"/>
    <col min="8" max="8" width="11.25390625" style="2" customWidth="1"/>
    <col min="9" max="9" width="11.875" style="2" customWidth="1"/>
    <col min="10" max="10" width="10.125" style="2" customWidth="1"/>
    <col min="11" max="11" width="10.75390625" style="2" customWidth="1"/>
    <col min="12" max="16384" width="9.125" style="82" customWidth="1"/>
  </cols>
  <sheetData>
    <row r="1" spans="1:11" s="2" customFormat="1" ht="12.75">
      <c r="A1" s="717"/>
      <c r="B1" s="717"/>
      <c r="C1" s="718"/>
      <c r="D1" s="718"/>
      <c r="E1" s="718"/>
      <c r="F1" s="718"/>
      <c r="G1" s="718"/>
      <c r="H1" s="718"/>
      <c r="I1" s="719"/>
      <c r="J1" s="719"/>
      <c r="K1" s="776" t="s">
        <v>151</v>
      </c>
    </row>
    <row r="2" spans="1:9" s="2" customFormat="1" ht="21" customHeight="1">
      <c r="A2" s="717"/>
      <c r="B2" s="717"/>
      <c r="C2" s="718"/>
      <c r="D2" s="718"/>
      <c r="E2" s="718"/>
      <c r="F2" s="718"/>
      <c r="G2" s="718"/>
      <c r="H2" s="718"/>
      <c r="I2" s="718"/>
    </row>
    <row r="3" spans="1:11" s="2" customFormat="1" ht="51" customHeight="1">
      <c r="A3" s="1475" t="s">
        <v>1460</v>
      </c>
      <c r="B3" s="1475"/>
      <c r="C3" s="1475"/>
      <c r="D3" s="1475"/>
      <c r="E3" s="1475"/>
      <c r="F3" s="1475"/>
      <c r="G3" s="1475"/>
      <c r="H3" s="1475"/>
      <c r="I3" s="1475"/>
      <c r="J3" s="1475"/>
      <c r="K3" s="1475"/>
    </row>
    <row r="4" spans="1:11" s="2" customFormat="1" ht="24" customHeight="1" thickBot="1">
      <c r="A4" s="717"/>
      <c r="B4" s="717"/>
      <c r="C4" s="718"/>
      <c r="D4" s="718"/>
      <c r="E4" s="718"/>
      <c r="F4" s="718"/>
      <c r="G4" s="718"/>
      <c r="H4" s="718"/>
      <c r="I4" s="349"/>
      <c r="J4" s="349"/>
      <c r="K4" s="349" t="s">
        <v>169</v>
      </c>
    </row>
    <row r="5" spans="1:11" s="247" customFormat="1" ht="17.25" customHeight="1">
      <c r="A5" s="1539" t="s">
        <v>171</v>
      </c>
      <c r="B5" s="1554" t="s">
        <v>170</v>
      </c>
      <c r="C5" s="1536" t="s">
        <v>1184</v>
      </c>
      <c r="D5" s="1536" t="s">
        <v>74</v>
      </c>
      <c r="E5" s="1536" t="s">
        <v>837</v>
      </c>
      <c r="F5" s="1536"/>
      <c r="G5" s="1536"/>
      <c r="H5" s="1536"/>
      <c r="I5" s="1536"/>
      <c r="J5" s="1541"/>
      <c r="K5" s="1542"/>
    </row>
    <row r="6" spans="1:11" s="247" customFormat="1" ht="17.25" customHeight="1">
      <c r="A6" s="1445"/>
      <c r="B6" s="1555"/>
      <c r="C6" s="1449"/>
      <c r="D6" s="1449"/>
      <c r="E6" s="1543" t="s">
        <v>474</v>
      </c>
      <c r="F6" s="1546" t="s">
        <v>676</v>
      </c>
      <c r="G6" s="1547"/>
      <c r="H6" s="1547"/>
      <c r="I6" s="1547"/>
      <c r="J6" s="1548"/>
      <c r="K6" s="1549" t="s">
        <v>494</v>
      </c>
    </row>
    <row r="7" spans="1:11" s="247" customFormat="1" ht="24" customHeight="1">
      <c r="A7" s="1540"/>
      <c r="B7" s="1537"/>
      <c r="C7" s="1537"/>
      <c r="D7" s="1538"/>
      <c r="E7" s="1544"/>
      <c r="F7" s="1538" t="s">
        <v>73</v>
      </c>
      <c r="G7" s="1538"/>
      <c r="H7" s="1538" t="s">
        <v>70</v>
      </c>
      <c r="I7" s="1552" t="s">
        <v>71</v>
      </c>
      <c r="J7" s="1543" t="s">
        <v>72</v>
      </c>
      <c r="K7" s="1550"/>
    </row>
    <row r="8" spans="1:11" s="247" customFormat="1" ht="72" customHeight="1">
      <c r="A8" s="1540"/>
      <c r="B8" s="1537"/>
      <c r="C8" s="1537"/>
      <c r="D8" s="1538"/>
      <c r="E8" s="1449"/>
      <c r="F8" s="720" t="s">
        <v>1459</v>
      </c>
      <c r="G8" s="720" t="s">
        <v>69</v>
      </c>
      <c r="H8" s="1538"/>
      <c r="I8" s="1553"/>
      <c r="J8" s="1449"/>
      <c r="K8" s="1551"/>
    </row>
    <row r="9" spans="1:11" s="2" customFormat="1" ht="14.25" customHeight="1">
      <c r="A9" s="269">
        <v>1</v>
      </c>
      <c r="B9" s="265">
        <v>2</v>
      </c>
      <c r="C9" s="265">
        <v>3</v>
      </c>
      <c r="D9" s="265">
        <v>4</v>
      </c>
      <c r="E9" s="265">
        <v>5</v>
      </c>
      <c r="F9" s="265">
        <v>6</v>
      </c>
      <c r="G9" s="265">
        <v>7</v>
      </c>
      <c r="H9" s="265">
        <v>8</v>
      </c>
      <c r="I9" s="265">
        <v>9</v>
      </c>
      <c r="J9" s="265">
        <v>10</v>
      </c>
      <c r="K9" s="784">
        <v>11</v>
      </c>
    </row>
    <row r="10" spans="1:11" s="493" customFormat="1" ht="19.5" customHeight="1">
      <c r="A10" s="1491" t="s">
        <v>648</v>
      </c>
      <c r="B10" s="1492"/>
      <c r="C10" s="1492"/>
      <c r="D10" s="1492"/>
      <c r="E10" s="1492"/>
      <c r="F10" s="1492"/>
      <c r="G10" s="1492"/>
      <c r="H10" s="1492"/>
      <c r="I10" s="1492"/>
      <c r="J10" s="1492"/>
      <c r="K10" s="1557"/>
    </row>
    <row r="11" spans="1:11" s="121" customFormat="1" ht="19.5" customHeight="1">
      <c r="A11" s="735" t="s">
        <v>172</v>
      </c>
      <c r="B11" s="789">
        <v>60004</v>
      </c>
      <c r="C11" s="731">
        <f>6DOCHODY!E36</f>
        <v>120061</v>
      </c>
      <c r="D11" s="731">
        <f>SUM(E11,K11)</f>
        <v>120061</v>
      </c>
      <c r="E11" s="731">
        <f>SUM(F11,G11,H11,I11,J11)</f>
        <v>120061</v>
      </c>
      <c r="F11" s="731">
        <v>0</v>
      </c>
      <c r="G11" s="731">
        <v>120061</v>
      </c>
      <c r="H11" s="731">
        <v>0</v>
      </c>
      <c r="I11" s="731">
        <v>0</v>
      </c>
      <c r="J11" s="731">
        <v>0</v>
      </c>
      <c r="K11" s="760">
        <v>0</v>
      </c>
    </row>
    <row r="12" spans="1:11" s="116" customFormat="1" ht="19.5" customHeight="1">
      <c r="A12" s="269" t="s">
        <v>173</v>
      </c>
      <c r="B12" s="792">
        <v>60004</v>
      </c>
      <c r="C12" s="737">
        <f>6DOCHODY!F36</f>
        <v>120000</v>
      </c>
      <c r="D12" s="737">
        <f>SUM(E12,K12)</f>
        <v>55344.48</v>
      </c>
      <c r="E12" s="737">
        <f>SUM(F12,G12,H12,I12,J12)</f>
        <v>55344.48</v>
      </c>
      <c r="F12" s="734">
        <v>0</v>
      </c>
      <c r="G12" s="734">
        <v>55344.48</v>
      </c>
      <c r="H12" s="734">
        <v>0</v>
      </c>
      <c r="I12" s="734">
        <v>0</v>
      </c>
      <c r="J12" s="734">
        <v>0</v>
      </c>
      <c r="K12" s="797">
        <v>0</v>
      </c>
    </row>
    <row r="13" spans="1:11" s="493" customFormat="1" ht="19.5" customHeight="1">
      <c r="A13" s="1491" t="s">
        <v>1041</v>
      </c>
      <c r="B13" s="1492"/>
      <c r="C13" s="1492"/>
      <c r="D13" s="1492"/>
      <c r="E13" s="1492"/>
      <c r="F13" s="1492"/>
      <c r="G13" s="1492"/>
      <c r="H13" s="1492"/>
      <c r="I13" s="1492"/>
      <c r="J13" s="1492"/>
      <c r="K13" s="1557"/>
    </row>
    <row r="14" spans="1:11" s="121" customFormat="1" ht="19.5" customHeight="1">
      <c r="A14" s="735" t="s">
        <v>172</v>
      </c>
      <c r="B14" s="789">
        <v>85508</v>
      </c>
      <c r="C14" s="731">
        <f>6DOCHODY!E838</f>
        <v>136800</v>
      </c>
      <c r="D14" s="731">
        <f>SUM(E14,K14)</f>
        <v>136800</v>
      </c>
      <c r="E14" s="731">
        <f>SUM(F14,G14,H14,I14,J14)</f>
        <v>136800</v>
      </c>
      <c r="F14" s="731">
        <v>0</v>
      </c>
      <c r="G14" s="731">
        <v>0</v>
      </c>
      <c r="H14" s="731">
        <v>0</v>
      </c>
      <c r="I14" s="731">
        <v>136800</v>
      </c>
      <c r="J14" s="731">
        <v>0</v>
      </c>
      <c r="K14" s="760">
        <v>0</v>
      </c>
    </row>
    <row r="15" spans="1:11" s="116" customFormat="1" ht="19.5" customHeight="1">
      <c r="A15" s="269" t="s">
        <v>173</v>
      </c>
      <c r="B15" s="792">
        <v>85508</v>
      </c>
      <c r="C15" s="737">
        <f>6DOCHODY!F838</f>
        <v>58040</v>
      </c>
      <c r="D15" s="737">
        <f>SUM(E15,K15)</f>
        <v>58040</v>
      </c>
      <c r="E15" s="737">
        <f>SUM(F15,G15,H15,I15,J15)</f>
        <v>58040</v>
      </c>
      <c r="F15" s="734">
        <v>0</v>
      </c>
      <c r="G15" s="734">
        <v>0</v>
      </c>
      <c r="H15" s="734">
        <v>0</v>
      </c>
      <c r="I15" s="734">
        <v>58040</v>
      </c>
      <c r="J15" s="734">
        <v>0</v>
      </c>
      <c r="K15" s="797">
        <v>0</v>
      </c>
    </row>
    <row r="16" spans="1:11" s="122" customFormat="1" ht="19.5" customHeight="1">
      <c r="A16" s="779" t="s">
        <v>573</v>
      </c>
      <c r="B16" s="778" t="s">
        <v>572</v>
      </c>
      <c r="C16" s="727">
        <f>SUM(C11,C14)</f>
        <v>256861</v>
      </c>
      <c r="D16" s="727">
        <f aca="true" t="shared" si="0" ref="D16:K16">SUM(D11,D14)</f>
        <v>256861</v>
      </c>
      <c r="E16" s="727">
        <f t="shared" si="0"/>
        <v>256861</v>
      </c>
      <c r="F16" s="727">
        <f t="shared" si="0"/>
        <v>0</v>
      </c>
      <c r="G16" s="727">
        <f t="shared" si="0"/>
        <v>120061</v>
      </c>
      <c r="H16" s="727">
        <f t="shared" si="0"/>
        <v>0</v>
      </c>
      <c r="I16" s="727">
        <f t="shared" si="0"/>
        <v>136800</v>
      </c>
      <c r="J16" s="727">
        <f t="shared" si="0"/>
        <v>0</v>
      </c>
      <c r="K16" s="749">
        <f t="shared" si="0"/>
        <v>0</v>
      </c>
    </row>
    <row r="17" spans="1:11" s="83" customFormat="1" ht="19.5" customHeight="1" thickBot="1">
      <c r="A17" s="747" t="s">
        <v>574</v>
      </c>
      <c r="B17" s="796" t="s">
        <v>572</v>
      </c>
      <c r="C17" s="798">
        <f>SUM(C12,C15)</f>
        <v>178040</v>
      </c>
      <c r="D17" s="798">
        <f aca="true" t="shared" si="1" ref="D17:K17">SUM(D12,D15)</f>
        <v>113384.48000000001</v>
      </c>
      <c r="E17" s="798">
        <f t="shared" si="1"/>
        <v>113384.48000000001</v>
      </c>
      <c r="F17" s="798">
        <f t="shared" si="1"/>
        <v>0</v>
      </c>
      <c r="G17" s="798">
        <f t="shared" si="1"/>
        <v>55344.48</v>
      </c>
      <c r="H17" s="798">
        <f t="shared" si="1"/>
        <v>0</v>
      </c>
      <c r="I17" s="798">
        <f t="shared" si="1"/>
        <v>58040</v>
      </c>
      <c r="J17" s="798">
        <f t="shared" si="1"/>
        <v>0</v>
      </c>
      <c r="K17" s="799">
        <f t="shared" si="1"/>
        <v>0</v>
      </c>
    </row>
    <row r="18" spans="1:2" s="2" customFormat="1" ht="12.75">
      <c r="A18" s="247"/>
      <c r="B18" s="247"/>
    </row>
    <row r="19" spans="1:4" s="2" customFormat="1" ht="12.75" hidden="1">
      <c r="A19" s="247"/>
      <c r="B19" s="247"/>
      <c r="C19" s="263">
        <f>C17</f>
        <v>178040</v>
      </c>
      <c r="D19" s="2" t="s">
        <v>476</v>
      </c>
    </row>
    <row r="20" spans="1:4" s="2" customFormat="1" ht="12.75" hidden="1">
      <c r="A20" s="247"/>
      <c r="B20" s="247"/>
      <c r="C20" s="263">
        <f>D17</f>
        <v>113384.48000000001</v>
      </c>
      <c r="D20" s="2" t="s">
        <v>662</v>
      </c>
    </row>
    <row r="21" spans="1:9" s="3" customFormat="1" ht="12.75" hidden="1">
      <c r="A21" s="1556" t="s">
        <v>1071</v>
      </c>
      <c r="B21" s="1556"/>
      <c r="C21" s="801">
        <f>C19-C20</f>
        <v>64655.51999999999</v>
      </c>
      <c r="D21" s="632" t="s">
        <v>664</v>
      </c>
      <c r="E21" s="632"/>
      <c r="F21" s="632" t="s">
        <v>663</v>
      </c>
      <c r="G21" s="632"/>
      <c r="H21" s="632"/>
      <c r="I21" s="632"/>
    </row>
    <row r="22" spans="1:2" s="2" customFormat="1" ht="12.75" hidden="1">
      <c r="A22" s="247"/>
      <c r="B22" s="247"/>
    </row>
    <row r="23" spans="1:2" s="2" customFormat="1" ht="12.75" hidden="1">
      <c r="A23" s="247"/>
      <c r="B23" s="247"/>
    </row>
    <row r="24" spans="1:2" s="2" customFormat="1" ht="12.75" hidden="1">
      <c r="A24" s="247"/>
      <c r="B24" s="247"/>
    </row>
    <row r="25" spans="1:3" s="800" customFormat="1" ht="18.75" hidden="1">
      <c r="A25" s="802"/>
      <c r="B25" s="802"/>
      <c r="C25" s="800" t="s">
        <v>1185</v>
      </c>
    </row>
    <row r="26" spans="1:2" s="2" customFormat="1" ht="12.75" hidden="1">
      <c r="A26" s="247"/>
      <c r="B26" s="247"/>
    </row>
  </sheetData>
  <sheetProtection password="CF53" sheet="1" formatCells="0" formatColumns="0" formatRows="0" insertColumns="0" insertRows="0" insertHyperlinks="0" deleteColumns="0" deleteRows="0" sort="0" autoFilter="0" pivotTables="0"/>
  <mergeCells count="16">
    <mergeCell ref="A21:B21"/>
    <mergeCell ref="E5:K5"/>
    <mergeCell ref="E6:E8"/>
    <mergeCell ref="F6:J6"/>
    <mergeCell ref="K6:K8"/>
    <mergeCell ref="A13:K13"/>
    <mergeCell ref="A10:K10"/>
    <mergeCell ref="A3:K3"/>
    <mergeCell ref="C5:C8"/>
    <mergeCell ref="D5:D8"/>
    <mergeCell ref="B5:B8"/>
    <mergeCell ref="I7:I8"/>
    <mergeCell ref="F7:G7"/>
    <mergeCell ref="H7:H8"/>
    <mergeCell ref="J7:J8"/>
    <mergeCell ref="A5:A8"/>
  </mergeCells>
  <printOptions horizontalCentered="1"/>
  <pageMargins left="0.7874015748031497" right="0.7874015748031497" top="0.984251968503937" bottom="0.7874015748031497" header="0.5118110236220472" footer="0.5118110236220472"/>
  <pageSetup firstPageNumber="75" useFirstPageNumber="1" horizontalDpi="600" verticalDpi="600" orientation="landscape" paperSize="9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IV82"/>
  <sheetViews>
    <sheetView view="pageBreakPreview" zoomScale="124" zoomScaleSheetLayoutView="124" zoomScalePageLayoutView="0" workbookViewId="0" topLeftCell="C56">
      <selection activeCell="I72" sqref="I72"/>
    </sheetView>
  </sheetViews>
  <sheetFormatPr defaultColWidth="9.00390625" defaultRowHeight="12" customHeight="1"/>
  <cols>
    <col min="1" max="1" width="3.625" style="1365" customWidth="1"/>
    <col min="2" max="2" width="7.375" style="1204" customWidth="1"/>
    <col min="3" max="3" width="66.125" style="1366" customWidth="1"/>
    <col min="4" max="4" width="12.875" style="1204" customWidth="1"/>
    <col min="5" max="5" width="12.125" style="1204" customWidth="1"/>
    <col min="6" max="6" width="5.75390625" style="1367" customWidth="1"/>
    <col min="7" max="7" width="14.875" style="1367" customWidth="1"/>
    <col min="8" max="8" width="8.625" style="1367" customWidth="1"/>
    <col min="9" max="9" width="14.75390625" style="1221" customWidth="1"/>
    <col min="10" max="10" width="11.375" style="1221" customWidth="1"/>
    <col min="11" max="15" width="9.125" style="1221" customWidth="1"/>
    <col min="16" max="16384" width="9.125" style="1204" customWidth="1"/>
  </cols>
  <sheetData>
    <row r="1" spans="1:15" s="1196" customFormat="1" ht="38.25" customHeight="1">
      <c r="A1" s="1195"/>
      <c r="C1" s="1197"/>
      <c r="F1" s="1198"/>
      <c r="G1" s="1565" t="s">
        <v>155</v>
      </c>
      <c r="H1" s="1565"/>
      <c r="I1" s="1218"/>
      <c r="J1" s="1218"/>
      <c r="K1" s="1218"/>
      <c r="L1" s="1218"/>
      <c r="M1" s="1218"/>
      <c r="N1" s="1218"/>
      <c r="O1" s="1218"/>
    </row>
    <row r="2" spans="1:15" s="1196" customFormat="1" ht="26.25" customHeight="1">
      <c r="A2" s="1566" t="s">
        <v>250</v>
      </c>
      <c r="B2" s="1566"/>
      <c r="C2" s="1566"/>
      <c r="D2" s="1566"/>
      <c r="E2" s="1566"/>
      <c r="F2" s="1566"/>
      <c r="G2" s="1566"/>
      <c r="H2" s="1566"/>
      <c r="I2" s="1218"/>
      <c r="J2" s="1218"/>
      <c r="K2" s="1218"/>
      <c r="L2" s="1218"/>
      <c r="M2" s="1218"/>
      <c r="N2" s="1218"/>
      <c r="O2" s="1218"/>
    </row>
    <row r="3" spans="1:15" s="1196" customFormat="1" ht="12" customHeight="1">
      <c r="A3" s="1195"/>
      <c r="C3" s="1197"/>
      <c r="F3" s="1199"/>
      <c r="G3" s="1199"/>
      <c r="H3" s="1199" t="s">
        <v>169</v>
      </c>
      <c r="I3" s="1218"/>
      <c r="J3" s="1218"/>
      <c r="K3" s="1218"/>
      <c r="L3" s="1218"/>
      <c r="M3" s="1218"/>
      <c r="N3" s="1218"/>
      <c r="O3" s="1218"/>
    </row>
    <row r="4" spans="1:15" s="1195" customFormat="1" ht="12" customHeight="1">
      <c r="A4" s="1567" t="s">
        <v>823</v>
      </c>
      <c r="B4" s="1567" t="s">
        <v>170</v>
      </c>
      <c r="C4" s="1567" t="s">
        <v>171</v>
      </c>
      <c r="D4" s="1567" t="s">
        <v>258</v>
      </c>
      <c r="E4" s="1567"/>
      <c r="F4" s="1569" t="s">
        <v>174</v>
      </c>
      <c r="G4" s="1570" t="s">
        <v>147</v>
      </c>
      <c r="H4" s="1571" t="s">
        <v>1263</v>
      </c>
      <c r="I4" s="1201"/>
      <c r="J4" s="1201"/>
      <c r="K4" s="1201"/>
      <c r="L4" s="1201"/>
      <c r="M4" s="1201"/>
      <c r="N4" s="1201"/>
      <c r="O4" s="1201"/>
    </row>
    <row r="5" spans="1:15" s="1195" customFormat="1" ht="24.75" customHeight="1">
      <c r="A5" s="1567"/>
      <c r="B5" s="1567"/>
      <c r="C5" s="1568"/>
      <c r="D5" s="1200" t="s">
        <v>550</v>
      </c>
      <c r="E5" s="1200" t="s">
        <v>1030</v>
      </c>
      <c r="F5" s="1569"/>
      <c r="G5" s="1570"/>
      <c r="H5" s="1571"/>
      <c r="I5" s="1563"/>
      <c r="J5" s="1564"/>
      <c r="K5" s="1201"/>
      <c r="L5" s="1201"/>
      <c r="M5" s="1201"/>
      <c r="N5" s="1201"/>
      <c r="O5" s="1201"/>
    </row>
    <row r="6" spans="1:15" s="1213" customFormat="1" ht="19.5" customHeight="1">
      <c r="A6" s="1562" t="s">
        <v>1364</v>
      </c>
      <c r="B6" s="1562"/>
      <c r="C6" s="1562"/>
      <c r="D6" s="1211">
        <f>SUM(D7,D10,D13,D16,D19,D22)</f>
        <v>848099</v>
      </c>
      <c r="E6" s="1211">
        <f>SUM(E7,E10,E13,E16,E19,E22)</f>
        <v>31547.93</v>
      </c>
      <c r="F6" s="1212">
        <f aca="true" t="shared" si="0" ref="F6:F40">E6*100/D6</f>
        <v>3.719840490320116</v>
      </c>
      <c r="G6" s="1231" t="s">
        <v>156</v>
      </c>
      <c r="H6" s="1231" t="s">
        <v>156</v>
      </c>
      <c r="I6" s="1219"/>
      <c r="J6" s="1219"/>
      <c r="K6" s="1220"/>
      <c r="L6" s="1220"/>
      <c r="M6" s="1220"/>
      <c r="N6" s="1220"/>
      <c r="O6" s="1220"/>
    </row>
    <row r="7" spans="1:8" ht="33.75" customHeight="1">
      <c r="A7" s="1560" t="s">
        <v>826</v>
      </c>
      <c r="B7" s="1558">
        <v>75023</v>
      </c>
      <c r="C7" s="264" t="s">
        <v>1569</v>
      </c>
      <c r="D7" s="1233">
        <f>D8+D9</f>
        <v>360500</v>
      </c>
      <c r="E7" s="1233">
        <f>E8+E9</f>
        <v>0</v>
      </c>
      <c r="F7" s="1234">
        <f aca="true" t="shared" si="1" ref="F7:F15">E7*100/D7</f>
        <v>0</v>
      </c>
      <c r="G7" s="1559" t="s">
        <v>1570</v>
      </c>
      <c r="H7" s="1559" t="s">
        <v>799</v>
      </c>
    </row>
    <row r="8" spans="1:8" ht="15.75" customHeight="1">
      <c r="A8" s="1560"/>
      <c r="B8" s="1558"/>
      <c r="C8" s="1235" t="s">
        <v>153</v>
      </c>
      <c r="D8" s="1236">
        <v>306428</v>
      </c>
      <c r="E8" s="1236">
        <v>0</v>
      </c>
      <c r="F8" s="1237">
        <f t="shared" si="1"/>
        <v>0</v>
      </c>
      <c r="G8" s="1559"/>
      <c r="H8" s="1559"/>
    </row>
    <row r="9" spans="1:8" ht="15.75" customHeight="1">
      <c r="A9" s="1560"/>
      <c r="B9" s="1558"/>
      <c r="C9" s="1238" t="s">
        <v>154</v>
      </c>
      <c r="D9" s="1236">
        <v>54072</v>
      </c>
      <c r="E9" s="1236">
        <v>0</v>
      </c>
      <c r="F9" s="1237">
        <f t="shared" si="1"/>
        <v>0</v>
      </c>
      <c r="G9" s="1559"/>
      <c r="H9" s="1559"/>
    </row>
    <row r="10" spans="1:8" ht="24.75" customHeight="1">
      <c r="A10" s="1560" t="s">
        <v>827</v>
      </c>
      <c r="B10" s="1558">
        <v>75095</v>
      </c>
      <c r="C10" s="1239" t="s">
        <v>1572</v>
      </c>
      <c r="D10" s="1233">
        <f>D11+D12</f>
        <v>72350</v>
      </c>
      <c r="E10" s="1233">
        <f>E11+E12</f>
        <v>0</v>
      </c>
      <c r="F10" s="1234">
        <f t="shared" si="1"/>
        <v>0</v>
      </c>
      <c r="G10" s="1559" t="s">
        <v>1571</v>
      </c>
      <c r="H10" s="1559" t="s">
        <v>799</v>
      </c>
    </row>
    <row r="11" spans="1:8" ht="15.75" customHeight="1">
      <c r="A11" s="1560"/>
      <c r="B11" s="1558"/>
      <c r="C11" s="1235" t="s">
        <v>153</v>
      </c>
      <c r="D11" s="1236">
        <v>65200</v>
      </c>
      <c r="E11" s="1236">
        <v>0</v>
      </c>
      <c r="F11" s="1237">
        <f t="shared" si="1"/>
        <v>0</v>
      </c>
      <c r="G11" s="1559"/>
      <c r="H11" s="1559"/>
    </row>
    <row r="12" spans="1:8" ht="15.75" customHeight="1">
      <c r="A12" s="1560"/>
      <c r="B12" s="1558"/>
      <c r="C12" s="1238" t="s">
        <v>154</v>
      </c>
      <c r="D12" s="1236">
        <v>7150</v>
      </c>
      <c r="E12" s="1236">
        <v>0</v>
      </c>
      <c r="F12" s="1237">
        <f t="shared" si="1"/>
        <v>0</v>
      </c>
      <c r="G12" s="1559"/>
      <c r="H12" s="1559"/>
    </row>
    <row r="13" spans="1:8" ht="24" customHeight="1">
      <c r="A13" s="1560" t="s">
        <v>942</v>
      </c>
      <c r="B13" s="1558">
        <v>80130</v>
      </c>
      <c r="C13" s="264" t="s">
        <v>1577</v>
      </c>
      <c r="D13" s="1233">
        <f>D14+D15</f>
        <v>325701</v>
      </c>
      <c r="E13" s="1233">
        <f>E14+E15</f>
        <v>0</v>
      </c>
      <c r="F13" s="1234">
        <f t="shared" si="1"/>
        <v>0</v>
      </c>
      <c r="G13" s="1559" t="s">
        <v>1574</v>
      </c>
      <c r="H13" s="1559" t="s">
        <v>799</v>
      </c>
    </row>
    <row r="14" spans="1:8" ht="15.75" customHeight="1">
      <c r="A14" s="1560"/>
      <c r="B14" s="1558"/>
      <c r="C14" s="1235" t="s">
        <v>153</v>
      </c>
      <c r="D14" s="1236">
        <v>260560</v>
      </c>
      <c r="E14" s="1236">
        <v>0</v>
      </c>
      <c r="F14" s="1237">
        <f t="shared" si="1"/>
        <v>0</v>
      </c>
      <c r="G14" s="1559"/>
      <c r="H14" s="1559"/>
    </row>
    <row r="15" spans="1:8" ht="15.75" customHeight="1">
      <c r="A15" s="1560"/>
      <c r="B15" s="1558"/>
      <c r="C15" s="1238" t="s">
        <v>154</v>
      </c>
      <c r="D15" s="1236">
        <v>65141</v>
      </c>
      <c r="E15" s="1236">
        <v>0</v>
      </c>
      <c r="F15" s="1237">
        <f t="shared" si="1"/>
        <v>0</v>
      </c>
      <c r="G15" s="1559"/>
      <c r="H15" s="1559"/>
    </row>
    <row r="16" spans="1:8" ht="34.5" customHeight="1">
      <c r="A16" s="1560" t="s">
        <v>949</v>
      </c>
      <c r="B16" s="1558">
        <v>80195</v>
      </c>
      <c r="C16" s="264" t="s">
        <v>1573</v>
      </c>
      <c r="D16" s="1233">
        <f>D17+D18</f>
        <v>22000</v>
      </c>
      <c r="E16" s="1233">
        <f>E17+E18</f>
        <v>0</v>
      </c>
      <c r="F16" s="1234">
        <f t="shared" si="0"/>
        <v>0</v>
      </c>
      <c r="G16" s="1559" t="s">
        <v>1574</v>
      </c>
      <c r="H16" s="1559" t="s">
        <v>799</v>
      </c>
    </row>
    <row r="17" spans="1:8" ht="15.75" customHeight="1">
      <c r="A17" s="1560"/>
      <c r="B17" s="1558"/>
      <c r="C17" s="1235" t="s">
        <v>153</v>
      </c>
      <c r="D17" s="1236">
        <v>22000</v>
      </c>
      <c r="E17" s="1236">
        <v>0</v>
      </c>
      <c r="F17" s="1237">
        <f t="shared" si="0"/>
        <v>0</v>
      </c>
      <c r="G17" s="1559"/>
      <c r="H17" s="1559"/>
    </row>
    <row r="18" spans="1:8" ht="15.75" customHeight="1">
      <c r="A18" s="1560"/>
      <c r="B18" s="1558"/>
      <c r="C18" s="1238" t="s">
        <v>154</v>
      </c>
      <c r="D18" s="1236">
        <v>0</v>
      </c>
      <c r="E18" s="1236">
        <v>0</v>
      </c>
      <c r="F18" s="1237" t="e">
        <f t="shared" si="0"/>
        <v>#DIV/0!</v>
      </c>
      <c r="G18" s="1559"/>
      <c r="H18" s="1559"/>
    </row>
    <row r="19" spans="1:8" ht="25.5" customHeight="1">
      <c r="A19" s="1560" t="s">
        <v>950</v>
      </c>
      <c r="B19" s="1558">
        <v>85395</v>
      </c>
      <c r="C19" s="1232" t="s">
        <v>1575</v>
      </c>
      <c r="D19" s="1233">
        <f>D20+D21</f>
        <v>36000</v>
      </c>
      <c r="E19" s="1233">
        <f>E20+E21</f>
        <v>0</v>
      </c>
      <c r="F19" s="1234">
        <f aca="true" t="shared" si="2" ref="F19:F24">E19*100/D19</f>
        <v>0</v>
      </c>
      <c r="G19" s="1559" t="s">
        <v>1576</v>
      </c>
      <c r="H19" s="1559" t="s">
        <v>799</v>
      </c>
    </row>
    <row r="20" spans="1:8" ht="15.75" customHeight="1">
      <c r="A20" s="1560"/>
      <c r="B20" s="1558"/>
      <c r="C20" s="1235" t="s">
        <v>153</v>
      </c>
      <c r="D20" s="1236">
        <v>31000</v>
      </c>
      <c r="E20" s="1236">
        <v>0</v>
      </c>
      <c r="F20" s="1237">
        <f t="shared" si="2"/>
        <v>0</v>
      </c>
      <c r="G20" s="1559"/>
      <c r="H20" s="1559"/>
    </row>
    <row r="21" spans="1:8" ht="15.75" customHeight="1">
      <c r="A21" s="1560"/>
      <c r="B21" s="1558"/>
      <c r="C21" s="1238" t="s">
        <v>154</v>
      </c>
      <c r="D21" s="1236">
        <v>5000</v>
      </c>
      <c r="E21" s="1236">
        <v>0</v>
      </c>
      <c r="F21" s="1237">
        <f t="shared" si="2"/>
        <v>0</v>
      </c>
      <c r="G21" s="1559"/>
      <c r="H21" s="1559"/>
    </row>
    <row r="22" spans="1:8" ht="25.5" customHeight="1">
      <c r="A22" s="1560" t="s">
        <v>951</v>
      </c>
      <c r="B22" s="1558">
        <v>85395</v>
      </c>
      <c r="C22" s="1232" t="s">
        <v>1581</v>
      </c>
      <c r="D22" s="1233">
        <f>D23+D24</f>
        <v>31548</v>
      </c>
      <c r="E22" s="1233">
        <f>E23+E24</f>
        <v>31547.93</v>
      </c>
      <c r="F22" s="1234">
        <f t="shared" si="2"/>
        <v>99.9997781158869</v>
      </c>
      <c r="G22" s="1559" t="s">
        <v>1065</v>
      </c>
      <c r="H22" s="1559">
        <v>171</v>
      </c>
    </row>
    <row r="23" spans="1:8" ht="15.75" customHeight="1">
      <c r="A23" s="1560"/>
      <c r="B23" s="1558"/>
      <c r="C23" s="1235" t="s">
        <v>153</v>
      </c>
      <c r="D23" s="1236">
        <v>29747</v>
      </c>
      <c r="E23" s="1236">
        <v>29746.55</v>
      </c>
      <c r="F23" s="1237">
        <f t="shared" si="2"/>
        <v>99.998487242411</v>
      </c>
      <c r="G23" s="1559"/>
      <c r="H23" s="1559"/>
    </row>
    <row r="24" spans="1:8" ht="15.75" customHeight="1">
      <c r="A24" s="1560"/>
      <c r="B24" s="1558"/>
      <c r="C24" s="1238" t="s">
        <v>154</v>
      </c>
      <c r="D24" s="1236">
        <v>1801</v>
      </c>
      <c r="E24" s="1236">
        <v>1801.38</v>
      </c>
      <c r="F24" s="1237">
        <f t="shared" si="2"/>
        <v>100.02109938922821</v>
      </c>
      <c r="G24" s="1559"/>
      <c r="H24" s="1559"/>
    </row>
    <row r="25" spans="1:15" s="1213" customFormat="1" ht="19.5" customHeight="1">
      <c r="A25" s="1562" t="s">
        <v>1365</v>
      </c>
      <c r="B25" s="1562"/>
      <c r="C25" s="1562"/>
      <c r="D25" s="1211">
        <f>SUM(D26,D29,D32,D35,D38,D41,D44,D47,D50,D53,D56,D59,D62,D65,D68)</f>
        <v>27131530</v>
      </c>
      <c r="E25" s="1211">
        <f>SUM(E26,E29,E32,E35,E38,E41,E44,E47,E50,E53,E56,E59,E62,E65,E68)</f>
        <v>149859.93</v>
      </c>
      <c r="F25" s="1212">
        <f t="shared" si="0"/>
        <v>0.552346034300314</v>
      </c>
      <c r="G25" s="1231" t="s">
        <v>156</v>
      </c>
      <c r="H25" s="1231"/>
      <c r="I25" s="1219"/>
      <c r="J25" s="1219"/>
      <c r="K25" s="1220"/>
      <c r="L25" s="1220"/>
      <c r="M25" s="1220"/>
      <c r="N25" s="1220"/>
      <c r="O25" s="1220"/>
    </row>
    <row r="26" spans="1:8" ht="24" customHeight="1">
      <c r="A26" s="1560" t="s">
        <v>281</v>
      </c>
      <c r="B26" s="1558">
        <v>60015</v>
      </c>
      <c r="C26" s="1232" t="s">
        <v>1293</v>
      </c>
      <c r="D26" s="1233">
        <f>D27+D28</f>
        <v>1210000</v>
      </c>
      <c r="E26" s="1233">
        <f>E27+E28</f>
        <v>19544</v>
      </c>
      <c r="F26" s="1234">
        <f t="shared" si="0"/>
        <v>1.615206611570248</v>
      </c>
      <c r="G26" s="1559" t="s">
        <v>148</v>
      </c>
      <c r="H26" s="1559">
        <v>158</v>
      </c>
    </row>
    <row r="27" spans="1:8" ht="15.75" customHeight="1">
      <c r="A27" s="1560"/>
      <c r="B27" s="1558"/>
      <c r="C27" s="1235" t="s">
        <v>153</v>
      </c>
      <c r="D27" s="1236">
        <v>1006000</v>
      </c>
      <c r="E27" s="1236">
        <v>16612.4</v>
      </c>
      <c r="F27" s="1237">
        <f t="shared" si="0"/>
        <v>1.6513320079522864</v>
      </c>
      <c r="G27" s="1559"/>
      <c r="H27" s="1559"/>
    </row>
    <row r="28" spans="1:8" ht="15.75" customHeight="1">
      <c r="A28" s="1560"/>
      <c r="B28" s="1558"/>
      <c r="C28" s="1238" t="s">
        <v>154</v>
      </c>
      <c r="D28" s="1236">
        <v>204000</v>
      </c>
      <c r="E28" s="1236">
        <v>2931.6</v>
      </c>
      <c r="F28" s="1237">
        <f t="shared" si="0"/>
        <v>1.4370588235294117</v>
      </c>
      <c r="G28" s="1559"/>
      <c r="H28" s="1559"/>
    </row>
    <row r="29" spans="1:8" ht="31.5" customHeight="1">
      <c r="A29" s="1560" t="s">
        <v>282</v>
      </c>
      <c r="B29" s="1558">
        <v>60015</v>
      </c>
      <c r="C29" s="1232" t="s">
        <v>1349</v>
      </c>
      <c r="D29" s="1233">
        <f>D30+D31</f>
        <v>690000</v>
      </c>
      <c r="E29" s="1233">
        <f>E30+E31</f>
        <v>0</v>
      </c>
      <c r="F29" s="1234">
        <f t="shared" si="0"/>
        <v>0</v>
      </c>
      <c r="G29" s="1559" t="s">
        <v>148</v>
      </c>
      <c r="H29" s="1559" t="s">
        <v>799</v>
      </c>
    </row>
    <row r="30" spans="1:8" ht="15.75" customHeight="1">
      <c r="A30" s="1560"/>
      <c r="B30" s="1558"/>
      <c r="C30" s="1235" t="s">
        <v>153</v>
      </c>
      <c r="D30" s="1236">
        <v>345000</v>
      </c>
      <c r="E30" s="1236">
        <v>0</v>
      </c>
      <c r="F30" s="1237">
        <f t="shared" si="0"/>
        <v>0</v>
      </c>
      <c r="G30" s="1559"/>
      <c r="H30" s="1559"/>
    </row>
    <row r="31" spans="1:8" ht="15.75" customHeight="1">
      <c r="A31" s="1560"/>
      <c r="B31" s="1558"/>
      <c r="C31" s="1238" t="s">
        <v>154</v>
      </c>
      <c r="D31" s="1236">
        <v>345000</v>
      </c>
      <c r="E31" s="1236">
        <v>0</v>
      </c>
      <c r="F31" s="1237">
        <f t="shared" si="0"/>
        <v>0</v>
      </c>
      <c r="G31" s="1559"/>
      <c r="H31" s="1559"/>
    </row>
    <row r="32" spans="1:8" ht="19.5" customHeight="1">
      <c r="A32" s="1560" t="s">
        <v>952</v>
      </c>
      <c r="B32" s="1558">
        <v>60015</v>
      </c>
      <c r="C32" s="1239" t="s">
        <v>1223</v>
      </c>
      <c r="D32" s="1233">
        <f>D33+D34</f>
        <v>5300000</v>
      </c>
      <c r="E32" s="1233">
        <f>E33+E34</f>
        <v>0</v>
      </c>
      <c r="F32" s="1234">
        <f t="shared" si="0"/>
        <v>0</v>
      </c>
      <c r="G32" s="1559" t="s">
        <v>148</v>
      </c>
      <c r="H32" s="1559" t="s">
        <v>799</v>
      </c>
    </row>
    <row r="33" spans="1:8" ht="15.75" customHeight="1">
      <c r="A33" s="1560"/>
      <c r="B33" s="1558"/>
      <c r="C33" s="1235" t="s">
        <v>153</v>
      </c>
      <c r="D33" s="1236">
        <v>4236500</v>
      </c>
      <c r="E33" s="1236">
        <v>0</v>
      </c>
      <c r="F33" s="1237">
        <f t="shared" si="0"/>
        <v>0</v>
      </c>
      <c r="G33" s="1559"/>
      <c r="H33" s="1559"/>
    </row>
    <row r="34" spans="1:8" ht="15.75" customHeight="1">
      <c r="A34" s="1560"/>
      <c r="B34" s="1558"/>
      <c r="C34" s="1238" t="s">
        <v>154</v>
      </c>
      <c r="D34" s="1236">
        <v>1063500</v>
      </c>
      <c r="E34" s="1236">
        <v>0</v>
      </c>
      <c r="F34" s="1237">
        <f t="shared" si="0"/>
        <v>0</v>
      </c>
      <c r="G34" s="1559"/>
      <c r="H34" s="1559"/>
    </row>
    <row r="35" spans="1:8" ht="32.25" customHeight="1">
      <c r="A35" s="1560" t="s">
        <v>954</v>
      </c>
      <c r="B35" s="1558">
        <v>60015</v>
      </c>
      <c r="C35" s="1239" t="s">
        <v>1366</v>
      </c>
      <c r="D35" s="1233">
        <f>D36+D37</f>
        <v>1130000</v>
      </c>
      <c r="E35" s="1233">
        <f>E36+E37</f>
        <v>0</v>
      </c>
      <c r="F35" s="1234">
        <f t="shared" si="0"/>
        <v>0</v>
      </c>
      <c r="G35" s="1559" t="s">
        <v>148</v>
      </c>
      <c r="H35" s="1559" t="s">
        <v>799</v>
      </c>
    </row>
    <row r="36" spans="1:8" ht="15.75" customHeight="1">
      <c r="A36" s="1560"/>
      <c r="B36" s="1558"/>
      <c r="C36" s="1235" t="s">
        <v>153</v>
      </c>
      <c r="D36" s="1236">
        <v>757100</v>
      </c>
      <c r="E36" s="1236">
        <v>0</v>
      </c>
      <c r="F36" s="1237">
        <f t="shared" si="0"/>
        <v>0</v>
      </c>
      <c r="G36" s="1559"/>
      <c r="H36" s="1559"/>
    </row>
    <row r="37" spans="1:8" ht="15.75" customHeight="1">
      <c r="A37" s="1560"/>
      <c r="B37" s="1558"/>
      <c r="C37" s="1238" t="s">
        <v>154</v>
      </c>
      <c r="D37" s="1236">
        <v>372900</v>
      </c>
      <c r="E37" s="1236">
        <v>0</v>
      </c>
      <c r="F37" s="1237">
        <f t="shared" si="0"/>
        <v>0</v>
      </c>
      <c r="G37" s="1559"/>
      <c r="H37" s="1559"/>
    </row>
    <row r="38" spans="1:8" ht="31.5" customHeight="1">
      <c r="A38" s="1560" t="s">
        <v>283</v>
      </c>
      <c r="B38" s="1558">
        <v>60015</v>
      </c>
      <c r="C38" s="1239" t="s">
        <v>1367</v>
      </c>
      <c r="D38" s="1233">
        <f>D39+D40</f>
        <v>1351000</v>
      </c>
      <c r="E38" s="1233">
        <f>E39+E40</f>
        <v>64913.1</v>
      </c>
      <c r="F38" s="1234">
        <f t="shared" si="0"/>
        <v>4.8048186528497405</v>
      </c>
      <c r="G38" s="1559" t="s">
        <v>148</v>
      </c>
      <c r="H38" s="1559">
        <v>159</v>
      </c>
    </row>
    <row r="39" spans="1:8" ht="15.75" customHeight="1">
      <c r="A39" s="1560"/>
      <c r="B39" s="1558"/>
      <c r="C39" s="1235" t="s">
        <v>153</v>
      </c>
      <c r="D39" s="1236">
        <v>617740</v>
      </c>
      <c r="E39" s="1236">
        <v>43491.77</v>
      </c>
      <c r="F39" s="1237">
        <f t="shared" si="0"/>
        <v>7.040465244277528</v>
      </c>
      <c r="G39" s="1559"/>
      <c r="H39" s="1559"/>
    </row>
    <row r="40" spans="1:8" ht="15.75" customHeight="1">
      <c r="A40" s="1560"/>
      <c r="B40" s="1558"/>
      <c r="C40" s="1238" t="s">
        <v>154</v>
      </c>
      <c r="D40" s="1236">
        <v>733260</v>
      </c>
      <c r="E40" s="1236">
        <v>21421.33</v>
      </c>
      <c r="F40" s="1237">
        <f t="shared" si="0"/>
        <v>2.921382592804735</v>
      </c>
      <c r="G40" s="1559"/>
      <c r="H40" s="1559"/>
    </row>
    <row r="41" spans="1:8" ht="54.75" customHeight="1">
      <c r="A41" s="1560" t="s">
        <v>955</v>
      </c>
      <c r="B41" s="1558">
        <v>60015</v>
      </c>
      <c r="C41" s="1239" t="s">
        <v>1587</v>
      </c>
      <c r="D41" s="1233">
        <f>D42+D43</f>
        <v>3380000</v>
      </c>
      <c r="E41" s="1233">
        <f>E42+E43</f>
        <v>3800</v>
      </c>
      <c r="F41" s="1234">
        <f aca="true" t="shared" si="3" ref="F41:F46">E41*100/D41</f>
        <v>0.11242603550295859</v>
      </c>
      <c r="G41" s="1559" t="s">
        <v>148</v>
      </c>
      <c r="H41" s="1559">
        <v>159</v>
      </c>
    </row>
    <row r="42" spans="1:8" ht="15.75" customHeight="1">
      <c r="A42" s="1560"/>
      <c r="B42" s="1558"/>
      <c r="C42" s="1235" t="s">
        <v>153</v>
      </c>
      <c r="D42" s="1236">
        <v>2873000</v>
      </c>
      <c r="E42" s="1236">
        <v>3230</v>
      </c>
      <c r="F42" s="1237">
        <f t="shared" si="3"/>
        <v>0.11242603550295859</v>
      </c>
      <c r="G42" s="1559"/>
      <c r="H42" s="1559"/>
    </row>
    <row r="43" spans="1:8" ht="15.75" customHeight="1">
      <c r="A43" s="1560"/>
      <c r="B43" s="1558"/>
      <c r="C43" s="1238" t="s">
        <v>154</v>
      </c>
      <c r="D43" s="1236">
        <v>507000</v>
      </c>
      <c r="E43" s="1236">
        <v>570</v>
      </c>
      <c r="F43" s="1237">
        <f t="shared" si="3"/>
        <v>0.11242603550295859</v>
      </c>
      <c r="G43" s="1559"/>
      <c r="H43" s="1559"/>
    </row>
    <row r="44" spans="1:256" ht="70.5" customHeight="1">
      <c r="A44" s="1560" t="s">
        <v>956</v>
      </c>
      <c r="B44" s="1558">
        <v>60016</v>
      </c>
      <c r="C44" s="1239" t="s">
        <v>1588</v>
      </c>
      <c r="D44" s="1233">
        <f>D45+D46</f>
        <v>655030</v>
      </c>
      <c r="E44" s="1233">
        <f>E45+E46</f>
        <v>0</v>
      </c>
      <c r="F44" s="1234">
        <f t="shared" si="3"/>
        <v>0</v>
      </c>
      <c r="G44" s="1559" t="s">
        <v>148</v>
      </c>
      <c r="H44" s="1559" t="s">
        <v>799</v>
      </c>
      <c r="I44" s="1572"/>
      <c r="J44" s="1573"/>
      <c r="K44" s="1222"/>
      <c r="L44" s="1223"/>
      <c r="M44" s="1223"/>
      <c r="N44" s="1224"/>
      <c r="O44" s="1574"/>
      <c r="P44" s="1575"/>
      <c r="Q44" s="1576"/>
      <c r="R44" s="1579"/>
      <c r="S44" s="1217"/>
      <c r="T44" s="1202"/>
      <c r="U44" s="1202"/>
      <c r="V44" s="1203"/>
      <c r="W44" s="1582"/>
      <c r="X44" s="1559"/>
      <c r="Y44" s="1576"/>
      <c r="Z44" s="1579"/>
      <c r="AA44" s="1217"/>
      <c r="AB44" s="1202"/>
      <c r="AC44" s="1202"/>
      <c r="AD44" s="1203"/>
      <c r="AE44" s="1582"/>
      <c r="AF44" s="1559"/>
      <c r="AG44" s="1576"/>
      <c r="AH44" s="1579"/>
      <c r="AI44" s="1217"/>
      <c r="AJ44" s="1202"/>
      <c r="AK44" s="1202"/>
      <c r="AL44" s="1203"/>
      <c r="AM44" s="1582"/>
      <c r="AN44" s="1559"/>
      <c r="AO44" s="1576"/>
      <c r="AP44" s="1579"/>
      <c r="AQ44" s="1217"/>
      <c r="AR44" s="1202"/>
      <c r="AS44" s="1202"/>
      <c r="AT44" s="1203"/>
      <c r="AU44" s="1582"/>
      <c r="AV44" s="1559"/>
      <c r="AW44" s="1576"/>
      <c r="AX44" s="1579"/>
      <c r="AY44" s="1217"/>
      <c r="AZ44" s="1202"/>
      <c r="BA44" s="1202"/>
      <c r="BB44" s="1203"/>
      <c r="BC44" s="1582"/>
      <c r="BD44" s="1559"/>
      <c r="BE44" s="1576"/>
      <c r="BF44" s="1579"/>
      <c r="BG44" s="1217"/>
      <c r="BH44" s="1202"/>
      <c r="BI44" s="1202"/>
      <c r="BJ44" s="1203"/>
      <c r="BK44" s="1582"/>
      <c r="BL44" s="1559"/>
      <c r="BM44" s="1576"/>
      <c r="BN44" s="1579"/>
      <c r="BO44" s="1217"/>
      <c r="BP44" s="1202"/>
      <c r="BQ44" s="1202"/>
      <c r="BR44" s="1203"/>
      <c r="BS44" s="1582"/>
      <c r="BT44" s="1559"/>
      <c r="BU44" s="1576"/>
      <c r="BV44" s="1579"/>
      <c r="BW44" s="1217"/>
      <c r="BX44" s="1202">
        <f>BX45+BX46</f>
        <v>3380000</v>
      </c>
      <c r="BY44" s="1202">
        <f>BY45+BY46</f>
        <v>3800</v>
      </c>
      <c r="BZ44" s="1203">
        <f>BY44*100/BX44</f>
        <v>0.11242603550295859</v>
      </c>
      <c r="CA44" s="1582" t="s">
        <v>148</v>
      </c>
      <c r="CB44" s="1559"/>
      <c r="CC44" s="1576" t="s">
        <v>282</v>
      </c>
      <c r="CD44" s="1579">
        <v>60015</v>
      </c>
      <c r="CE44" s="1217" t="s">
        <v>1567</v>
      </c>
      <c r="CF44" s="1202">
        <f>CF45+CF46</f>
        <v>3380000</v>
      </c>
      <c r="CG44" s="1202">
        <f>CG45+CG46</f>
        <v>3800</v>
      </c>
      <c r="CH44" s="1203">
        <f>CG44*100/CF44</f>
        <v>0.11242603550295859</v>
      </c>
      <c r="CI44" s="1582" t="s">
        <v>148</v>
      </c>
      <c r="CJ44" s="1559"/>
      <c r="CK44" s="1576" t="s">
        <v>282</v>
      </c>
      <c r="CL44" s="1579">
        <v>60015</v>
      </c>
      <c r="CM44" s="1217" t="s">
        <v>1567</v>
      </c>
      <c r="CN44" s="1202">
        <f>CN45+CN46</f>
        <v>3380000</v>
      </c>
      <c r="CO44" s="1202">
        <f>CO45+CO46</f>
        <v>3800</v>
      </c>
      <c r="CP44" s="1203">
        <f>CO44*100/CN44</f>
        <v>0.11242603550295859</v>
      </c>
      <c r="CQ44" s="1582" t="s">
        <v>148</v>
      </c>
      <c r="CR44" s="1559"/>
      <c r="CS44" s="1576" t="s">
        <v>282</v>
      </c>
      <c r="CT44" s="1579">
        <v>60015</v>
      </c>
      <c r="CU44" s="1217" t="s">
        <v>1567</v>
      </c>
      <c r="CV44" s="1202">
        <f>CV45+CV46</f>
        <v>3380000</v>
      </c>
      <c r="CW44" s="1202">
        <f>CW45+CW46</f>
        <v>3800</v>
      </c>
      <c r="CX44" s="1203">
        <f>CW44*100/CV44</f>
        <v>0.11242603550295859</v>
      </c>
      <c r="CY44" s="1582" t="s">
        <v>148</v>
      </c>
      <c r="CZ44" s="1559"/>
      <c r="DA44" s="1576" t="s">
        <v>282</v>
      </c>
      <c r="DB44" s="1579">
        <v>60015</v>
      </c>
      <c r="DC44" s="1217" t="s">
        <v>1567</v>
      </c>
      <c r="DD44" s="1202">
        <f>DD45+DD46</f>
        <v>3380000</v>
      </c>
      <c r="DE44" s="1202">
        <f>DE45+DE46</f>
        <v>3800</v>
      </c>
      <c r="DF44" s="1203">
        <f>DE44*100/DD44</f>
        <v>0.11242603550295859</v>
      </c>
      <c r="DG44" s="1582" t="s">
        <v>148</v>
      </c>
      <c r="DH44" s="1559"/>
      <c r="DI44" s="1576" t="s">
        <v>282</v>
      </c>
      <c r="DJ44" s="1579">
        <v>60015</v>
      </c>
      <c r="DK44" s="1217" t="s">
        <v>1567</v>
      </c>
      <c r="DL44" s="1202">
        <f>DL45+DL46</f>
        <v>3380000</v>
      </c>
      <c r="DM44" s="1202">
        <f>DM45+DM46</f>
        <v>3800</v>
      </c>
      <c r="DN44" s="1203">
        <f>DM44*100/DL44</f>
        <v>0.11242603550295859</v>
      </c>
      <c r="DO44" s="1582" t="s">
        <v>148</v>
      </c>
      <c r="DP44" s="1559"/>
      <c r="DQ44" s="1576" t="s">
        <v>282</v>
      </c>
      <c r="DR44" s="1579">
        <v>60015</v>
      </c>
      <c r="DS44" s="1217" t="s">
        <v>1567</v>
      </c>
      <c r="DT44" s="1202">
        <f>DT45+DT46</f>
        <v>3380000</v>
      </c>
      <c r="DU44" s="1202">
        <f>DU45+DU46</f>
        <v>3800</v>
      </c>
      <c r="DV44" s="1203">
        <f>DU44*100/DT44</f>
        <v>0.11242603550295859</v>
      </c>
      <c r="DW44" s="1582" t="s">
        <v>148</v>
      </c>
      <c r="DX44" s="1559"/>
      <c r="DY44" s="1576" t="s">
        <v>282</v>
      </c>
      <c r="DZ44" s="1579">
        <v>60015</v>
      </c>
      <c r="EA44" s="1217" t="s">
        <v>1567</v>
      </c>
      <c r="EB44" s="1202">
        <f>EB45+EB46</f>
        <v>3380000</v>
      </c>
      <c r="EC44" s="1202">
        <f>EC45+EC46</f>
        <v>3800</v>
      </c>
      <c r="ED44" s="1203">
        <f>EC44*100/EB44</f>
        <v>0.11242603550295859</v>
      </c>
      <c r="EE44" s="1582" t="s">
        <v>148</v>
      </c>
      <c r="EF44" s="1559"/>
      <c r="EG44" s="1576" t="s">
        <v>282</v>
      </c>
      <c r="EH44" s="1579">
        <v>60015</v>
      </c>
      <c r="EI44" s="1217" t="s">
        <v>1567</v>
      </c>
      <c r="EJ44" s="1202">
        <f>EJ45+EJ46</f>
        <v>3380000</v>
      </c>
      <c r="EK44" s="1202">
        <f>EK45+EK46</f>
        <v>3800</v>
      </c>
      <c r="EL44" s="1203">
        <f>EK44*100/EJ44</f>
        <v>0.11242603550295859</v>
      </c>
      <c r="EM44" s="1582" t="s">
        <v>148</v>
      </c>
      <c r="EN44" s="1559"/>
      <c r="EO44" s="1576" t="s">
        <v>282</v>
      </c>
      <c r="EP44" s="1579">
        <v>60015</v>
      </c>
      <c r="EQ44" s="1217" t="s">
        <v>1567</v>
      </c>
      <c r="ER44" s="1202">
        <f>ER45+ER46</f>
        <v>3380000</v>
      </c>
      <c r="ES44" s="1202">
        <f>ES45+ES46</f>
        <v>3800</v>
      </c>
      <c r="ET44" s="1203">
        <f>ES44*100/ER44</f>
        <v>0.11242603550295859</v>
      </c>
      <c r="EU44" s="1582" t="s">
        <v>148</v>
      </c>
      <c r="EV44" s="1559"/>
      <c r="EW44" s="1576" t="s">
        <v>282</v>
      </c>
      <c r="EX44" s="1579">
        <v>60015</v>
      </c>
      <c r="EY44" s="1217" t="s">
        <v>1567</v>
      </c>
      <c r="EZ44" s="1202">
        <f>EZ45+EZ46</f>
        <v>3380000</v>
      </c>
      <c r="FA44" s="1202">
        <f>FA45+FA46</f>
        <v>3800</v>
      </c>
      <c r="FB44" s="1203">
        <f>FA44*100/EZ44</f>
        <v>0.11242603550295859</v>
      </c>
      <c r="FC44" s="1582" t="s">
        <v>148</v>
      </c>
      <c r="FD44" s="1559"/>
      <c r="FE44" s="1576" t="s">
        <v>282</v>
      </c>
      <c r="FF44" s="1579">
        <v>60015</v>
      </c>
      <c r="FG44" s="1217" t="s">
        <v>1567</v>
      </c>
      <c r="FH44" s="1202">
        <f>FH45+FH46</f>
        <v>3380000</v>
      </c>
      <c r="FI44" s="1202">
        <f>FI45+FI46</f>
        <v>3800</v>
      </c>
      <c r="FJ44" s="1203">
        <f>FI44*100/FH44</f>
        <v>0.11242603550295859</v>
      </c>
      <c r="FK44" s="1582" t="s">
        <v>148</v>
      </c>
      <c r="FL44" s="1559"/>
      <c r="FM44" s="1576" t="s">
        <v>282</v>
      </c>
      <c r="FN44" s="1579">
        <v>60015</v>
      </c>
      <c r="FO44" s="1217" t="s">
        <v>1567</v>
      </c>
      <c r="FP44" s="1202">
        <f>FP45+FP46</f>
        <v>3380000</v>
      </c>
      <c r="FQ44" s="1202">
        <f>FQ45+FQ46</f>
        <v>3800</v>
      </c>
      <c r="FR44" s="1203">
        <f>FQ44*100/FP44</f>
        <v>0.11242603550295859</v>
      </c>
      <c r="FS44" s="1582" t="s">
        <v>148</v>
      </c>
      <c r="FT44" s="1559"/>
      <c r="FU44" s="1576" t="s">
        <v>282</v>
      </c>
      <c r="FV44" s="1579">
        <v>60015</v>
      </c>
      <c r="FW44" s="1217" t="s">
        <v>1567</v>
      </c>
      <c r="FX44" s="1202">
        <f>FX45+FX46</f>
        <v>3380000</v>
      </c>
      <c r="FY44" s="1202">
        <f>FY45+FY46</f>
        <v>3800</v>
      </c>
      <c r="FZ44" s="1203">
        <f>FY44*100/FX44</f>
        <v>0.11242603550295859</v>
      </c>
      <c r="GA44" s="1582" t="s">
        <v>148</v>
      </c>
      <c r="GB44" s="1559"/>
      <c r="GC44" s="1576" t="s">
        <v>282</v>
      </c>
      <c r="GD44" s="1579">
        <v>60015</v>
      </c>
      <c r="GE44" s="1217" t="s">
        <v>1567</v>
      </c>
      <c r="GF44" s="1202">
        <f>GF45+GF46</f>
        <v>3380000</v>
      </c>
      <c r="GG44" s="1202">
        <f>GG45+GG46</f>
        <v>3800</v>
      </c>
      <c r="GH44" s="1203">
        <f>GG44*100/GF44</f>
        <v>0.11242603550295859</v>
      </c>
      <c r="GI44" s="1582" t="s">
        <v>148</v>
      </c>
      <c r="GJ44" s="1559"/>
      <c r="GK44" s="1576" t="s">
        <v>282</v>
      </c>
      <c r="GL44" s="1579">
        <v>60015</v>
      </c>
      <c r="GM44" s="1217" t="s">
        <v>1567</v>
      </c>
      <c r="GN44" s="1202">
        <f>GN45+GN46</f>
        <v>3380000</v>
      </c>
      <c r="GO44" s="1202">
        <f>GO45+GO46</f>
        <v>3800</v>
      </c>
      <c r="GP44" s="1203">
        <f>GO44*100/GN44</f>
        <v>0.11242603550295859</v>
      </c>
      <c r="GQ44" s="1582" t="s">
        <v>148</v>
      </c>
      <c r="GR44" s="1559"/>
      <c r="GS44" s="1576" t="s">
        <v>282</v>
      </c>
      <c r="GT44" s="1579">
        <v>60015</v>
      </c>
      <c r="GU44" s="1217" t="s">
        <v>1567</v>
      </c>
      <c r="GV44" s="1202">
        <f>GV45+GV46</f>
        <v>3380000</v>
      </c>
      <c r="GW44" s="1202">
        <f>GW45+GW46</f>
        <v>3800</v>
      </c>
      <c r="GX44" s="1203">
        <f>GW44*100/GV44</f>
        <v>0.11242603550295859</v>
      </c>
      <c r="GY44" s="1582" t="s">
        <v>148</v>
      </c>
      <c r="GZ44" s="1559"/>
      <c r="HA44" s="1576" t="s">
        <v>282</v>
      </c>
      <c r="HB44" s="1579">
        <v>60015</v>
      </c>
      <c r="HC44" s="1217" t="s">
        <v>1567</v>
      </c>
      <c r="HD44" s="1202">
        <f>HD45+HD46</f>
        <v>3380000</v>
      </c>
      <c r="HE44" s="1202">
        <f>HE45+HE46</f>
        <v>3800</v>
      </c>
      <c r="HF44" s="1203">
        <f>HE44*100/HD44</f>
        <v>0.11242603550295859</v>
      </c>
      <c r="HG44" s="1582" t="s">
        <v>148</v>
      </c>
      <c r="HH44" s="1559"/>
      <c r="HI44" s="1576" t="s">
        <v>282</v>
      </c>
      <c r="HJ44" s="1579">
        <v>60015</v>
      </c>
      <c r="HK44" s="1217" t="s">
        <v>1567</v>
      </c>
      <c r="HL44" s="1202">
        <f>HL45+HL46</f>
        <v>3380000</v>
      </c>
      <c r="HM44" s="1202">
        <f>HM45+HM46</f>
        <v>3800</v>
      </c>
      <c r="HN44" s="1203">
        <f>HM44*100/HL44</f>
        <v>0.11242603550295859</v>
      </c>
      <c r="HO44" s="1582" t="s">
        <v>148</v>
      </c>
      <c r="HP44" s="1559"/>
      <c r="HQ44" s="1576" t="s">
        <v>282</v>
      </c>
      <c r="HR44" s="1579">
        <v>60015</v>
      </c>
      <c r="HS44" s="1217" t="s">
        <v>1567</v>
      </c>
      <c r="HT44" s="1202">
        <f>HT45+HT46</f>
        <v>3380000</v>
      </c>
      <c r="HU44" s="1202">
        <f>HU45+HU46</f>
        <v>3800</v>
      </c>
      <c r="HV44" s="1203">
        <f>HU44*100/HT44</f>
        <v>0.11242603550295859</v>
      </c>
      <c r="HW44" s="1582" t="s">
        <v>148</v>
      </c>
      <c r="HX44" s="1559"/>
      <c r="HY44" s="1576" t="s">
        <v>282</v>
      </c>
      <c r="HZ44" s="1579">
        <v>60015</v>
      </c>
      <c r="IA44" s="1217" t="s">
        <v>1567</v>
      </c>
      <c r="IB44" s="1202">
        <f>IB45+IB46</f>
        <v>3380000</v>
      </c>
      <c r="IC44" s="1202">
        <f>IC45+IC46</f>
        <v>3800</v>
      </c>
      <c r="ID44" s="1203">
        <f>IC44*100/IB44</f>
        <v>0.11242603550295859</v>
      </c>
      <c r="IE44" s="1582" t="s">
        <v>148</v>
      </c>
      <c r="IF44" s="1559"/>
      <c r="IG44" s="1576" t="s">
        <v>282</v>
      </c>
      <c r="IH44" s="1579">
        <v>60015</v>
      </c>
      <c r="II44" s="1217" t="s">
        <v>1567</v>
      </c>
      <c r="IJ44" s="1202">
        <f>IJ45+IJ46</f>
        <v>3380000</v>
      </c>
      <c r="IK44" s="1202">
        <f>IK45+IK46</f>
        <v>3800</v>
      </c>
      <c r="IL44" s="1203">
        <f>IK44*100/IJ44</f>
        <v>0.11242603550295859</v>
      </c>
      <c r="IM44" s="1582" t="s">
        <v>148</v>
      </c>
      <c r="IN44" s="1559"/>
      <c r="IO44" s="1576" t="s">
        <v>282</v>
      </c>
      <c r="IP44" s="1579">
        <v>60015</v>
      </c>
      <c r="IQ44" s="1217" t="s">
        <v>1567</v>
      </c>
      <c r="IR44" s="1202">
        <f>IR45+IR46</f>
        <v>3380000</v>
      </c>
      <c r="IS44" s="1202">
        <f>IS45+IS46</f>
        <v>3800</v>
      </c>
      <c r="IT44" s="1203">
        <f>IS44*100/IR44</f>
        <v>0.11242603550295859</v>
      </c>
      <c r="IU44" s="1582" t="s">
        <v>148</v>
      </c>
      <c r="IV44" s="1559"/>
    </row>
    <row r="45" spans="1:256" ht="15.75" customHeight="1">
      <c r="A45" s="1560"/>
      <c r="B45" s="1558"/>
      <c r="C45" s="1235" t="s">
        <v>153</v>
      </c>
      <c r="D45" s="1236">
        <v>491030</v>
      </c>
      <c r="E45" s="1236">
        <v>0</v>
      </c>
      <c r="F45" s="1237">
        <f t="shared" si="3"/>
        <v>0</v>
      </c>
      <c r="G45" s="1559"/>
      <c r="H45" s="1559"/>
      <c r="I45" s="1572"/>
      <c r="J45" s="1573"/>
      <c r="K45" s="1225"/>
      <c r="L45" s="1226"/>
      <c r="M45" s="1226"/>
      <c r="N45" s="1227"/>
      <c r="O45" s="1574"/>
      <c r="P45" s="1575"/>
      <c r="Q45" s="1577"/>
      <c r="R45" s="1580"/>
      <c r="S45" s="1205"/>
      <c r="T45" s="1206"/>
      <c r="U45" s="1206"/>
      <c r="V45" s="1207"/>
      <c r="W45" s="1583"/>
      <c r="X45" s="1559"/>
      <c r="Y45" s="1577"/>
      <c r="Z45" s="1580"/>
      <c r="AA45" s="1205"/>
      <c r="AB45" s="1206"/>
      <c r="AC45" s="1206"/>
      <c r="AD45" s="1207"/>
      <c r="AE45" s="1583"/>
      <c r="AF45" s="1559"/>
      <c r="AG45" s="1577"/>
      <c r="AH45" s="1580"/>
      <c r="AI45" s="1205"/>
      <c r="AJ45" s="1206"/>
      <c r="AK45" s="1206"/>
      <c r="AL45" s="1207"/>
      <c r="AM45" s="1583"/>
      <c r="AN45" s="1559"/>
      <c r="AO45" s="1577"/>
      <c r="AP45" s="1580"/>
      <c r="AQ45" s="1205"/>
      <c r="AR45" s="1206"/>
      <c r="AS45" s="1206"/>
      <c r="AT45" s="1207"/>
      <c r="AU45" s="1583"/>
      <c r="AV45" s="1559"/>
      <c r="AW45" s="1577"/>
      <c r="AX45" s="1580"/>
      <c r="AY45" s="1205"/>
      <c r="AZ45" s="1206"/>
      <c r="BA45" s="1206"/>
      <c r="BB45" s="1207"/>
      <c r="BC45" s="1583"/>
      <c r="BD45" s="1559"/>
      <c r="BE45" s="1577"/>
      <c r="BF45" s="1580"/>
      <c r="BG45" s="1205"/>
      <c r="BH45" s="1206"/>
      <c r="BI45" s="1206"/>
      <c r="BJ45" s="1207"/>
      <c r="BK45" s="1583"/>
      <c r="BL45" s="1559"/>
      <c r="BM45" s="1577"/>
      <c r="BN45" s="1580"/>
      <c r="BO45" s="1205"/>
      <c r="BP45" s="1206"/>
      <c r="BQ45" s="1206"/>
      <c r="BR45" s="1207"/>
      <c r="BS45" s="1583"/>
      <c r="BT45" s="1559"/>
      <c r="BU45" s="1577"/>
      <c r="BV45" s="1580"/>
      <c r="BW45" s="1205"/>
      <c r="BX45" s="1206">
        <v>2873000</v>
      </c>
      <c r="BY45" s="1206">
        <v>3230</v>
      </c>
      <c r="BZ45" s="1207">
        <f>BY45*100/BX45</f>
        <v>0.11242603550295859</v>
      </c>
      <c r="CA45" s="1583"/>
      <c r="CB45" s="1559"/>
      <c r="CC45" s="1577"/>
      <c r="CD45" s="1580"/>
      <c r="CE45" s="1205" t="s">
        <v>153</v>
      </c>
      <c r="CF45" s="1206">
        <v>2873000</v>
      </c>
      <c r="CG45" s="1206">
        <v>3230</v>
      </c>
      <c r="CH45" s="1207">
        <f>CG45*100/CF45</f>
        <v>0.11242603550295859</v>
      </c>
      <c r="CI45" s="1583"/>
      <c r="CJ45" s="1559"/>
      <c r="CK45" s="1577"/>
      <c r="CL45" s="1580"/>
      <c r="CM45" s="1205" t="s">
        <v>153</v>
      </c>
      <c r="CN45" s="1206">
        <v>2873000</v>
      </c>
      <c r="CO45" s="1206">
        <v>3230</v>
      </c>
      <c r="CP45" s="1207">
        <f>CO45*100/CN45</f>
        <v>0.11242603550295859</v>
      </c>
      <c r="CQ45" s="1583"/>
      <c r="CR45" s="1559"/>
      <c r="CS45" s="1577"/>
      <c r="CT45" s="1580"/>
      <c r="CU45" s="1205" t="s">
        <v>153</v>
      </c>
      <c r="CV45" s="1206">
        <v>2873000</v>
      </c>
      <c r="CW45" s="1206">
        <v>3230</v>
      </c>
      <c r="CX45" s="1207">
        <f>CW45*100/CV45</f>
        <v>0.11242603550295859</v>
      </c>
      <c r="CY45" s="1583"/>
      <c r="CZ45" s="1559"/>
      <c r="DA45" s="1577"/>
      <c r="DB45" s="1580"/>
      <c r="DC45" s="1205" t="s">
        <v>153</v>
      </c>
      <c r="DD45" s="1206">
        <v>2873000</v>
      </c>
      <c r="DE45" s="1206">
        <v>3230</v>
      </c>
      <c r="DF45" s="1207">
        <f>DE45*100/DD45</f>
        <v>0.11242603550295859</v>
      </c>
      <c r="DG45" s="1583"/>
      <c r="DH45" s="1559"/>
      <c r="DI45" s="1577"/>
      <c r="DJ45" s="1580"/>
      <c r="DK45" s="1205" t="s">
        <v>153</v>
      </c>
      <c r="DL45" s="1206">
        <v>2873000</v>
      </c>
      <c r="DM45" s="1206">
        <v>3230</v>
      </c>
      <c r="DN45" s="1207">
        <f>DM45*100/DL45</f>
        <v>0.11242603550295859</v>
      </c>
      <c r="DO45" s="1583"/>
      <c r="DP45" s="1559"/>
      <c r="DQ45" s="1577"/>
      <c r="DR45" s="1580"/>
      <c r="DS45" s="1205" t="s">
        <v>153</v>
      </c>
      <c r="DT45" s="1206">
        <v>2873000</v>
      </c>
      <c r="DU45" s="1206">
        <v>3230</v>
      </c>
      <c r="DV45" s="1207">
        <f>DU45*100/DT45</f>
        <v>0.11242603550295859</v>
      </c>
      <c r="DW45" s="1583"/>
      <c r="DX45" s="1559"/>
      <c r="DY45" s="1577"/>
      <c r="DZ45" s="1580"/>
      <c r="EA45" s="1205" t="s">
        <v>153</v>
      </c>
      <c r="EB45" s="1206">
        <v>2873000</v>
      </c>
      <c r="EC45" s="1206">
        <v>3230</v>
      </c>
      <c r="ED45" s="1207">
        <f>EC45*100/EB45</f>
        <v>0.11242603550295859</v>
      </c>
      <c r="EE45" s="1583"/>
      <c r="EF45" s="1559"/>
      <c r="EG45" s="1577"/>
      <c r="EH45" s="1580"/>
      <c r="EI45" s="1205" t="s">
        <v>153</v>
      </c>
      <c r="EJ45" s="1206">
        <v>2873000</v>
      </c>
      <c r="EK45" s="1206">
        <v>3230</v>
      </c>
      <c r="EL45" s="1207">
        <f>EK45*100/EJ45</f>
        <v>0.11242603550295859</v>
      </c>
      <c r="EM45" s="1583"/>
      <c r="EN45" s="1559"/>
      <c r="EO45" s="1577"/>
      <c r="EP45" s="1580"/>
      <c r="EQ45" s="1205" t="s">
        <v>153</v>
      </c>
      <c r="ER45" s="1206">
        <v>2873000</v>
      </c>
      <c r="ES45" s="1206">
        <v>3230</v>
      </c>
      <c r="ET45" s="1207">
        <f>ES45*100/ER45</f>
        <v>0.11242603550295859</v>
      </c>
      <c r="EU45" s="1583"/>
      <c r="EV45" s="1559"/>
      <c r="EW45" s="1577"/>
      <c r="EX45" s="1580"/>
      <c r="EY45" s="1205" t="s">
        <v>153</v>
      </c>
      <c r="EZ45" s="1206">
        <v>2873000</v>
      </c>
      <c r="FA45" s="1206">
        <v>3230</v>
      </c>
      <c r="FB45" s="1207">
        <f>FA45*100/EZ45</f>
        <v>0.11242603550295859</v>
      </c>
      <c r="FC45" s="1583"/>
      <c r="FD45" s="1559"/>
      <c r="FE45" s="1577"/>
      <c r="FF45" s="1580"/>
      <c r="FG45" s="1205" t="s">
        <v>153</v>
      </c>
      <c r="FH45" s="1206">
        <v>2873000</v>
      </c>
      <c r="FI45" s="1206">
        <v>3230</v>
      </c>
      <c r="FJ45" s="1207">
        <f>FI45*100/FH45</f>
        <v>0.11242603550295859</v>
      </c>
      <c r="FK45" s="1583"/>
      <c r="FL45" s="1559"/>
      <c r="FM45" s="1577"/>
      <c r="FN45" s="1580"/>
      <c r="FO45" s="1205" t="s">
        <v>153</v>
      </c>
      <c r="FP45" s="1206">
        <v>2873000</v>
      </c>
      <c r="FQ45" s="1206">
        <v>3230</v>
      </c>
      <c r="FR45" s="1207">
        <f>FQ45*100/FP45</f>
        <v>0.11242603550295859</v>
      </c>
      <c r="FS45" s="1583"/>
      <c r="FT45" s="1559"/>
      <c r="FU45" s="1577"/>
      <c r="FV45" s="1580"/>
      <c r="FW45" s="1205" t="s">
        <v>153</v>
      </c>
      <c r="FX45" s="1206">
        <v>2873000</v>
      </c>
      <c r="FY45" s="1206">
        <v>3230</v>
      </c>
      <c r="FZ45" s="1207">
        <f>FY45*100/FX45</f>
        <v>0.11242603550295859</v>
      </c>
      <c r="GA45" s="1583"/>
      <c r="GB45" s="1559"/>
      <c r="GC45" s="1577"/>
      <c r="GD45" s="1580"/>
      <c r="GE45" s="1205" t="s">
        <v>153</v>
      </c>
      <c r="GF45" s="1206">
        <v>2873000</v>
      </c>
      <c r="GG45" s="1206">
        <v>3230</v>
      </c>
      <c r="GH45" s="1207">
        <f>GG45*100/GF45</f>
        <v>0.11242603550295859</v>
      </c>
      <c r="GI45" s="1583"/>
      <c r="GJ45" s="1559"/>
      <c r="GK45" s="1577"/>
      <c r="GL45" s="1580"/>
      <c r="GM45" s="1205" t="s">
        <v>153</v>
      </c>
      <c r="GN45" s="1206">
        <v>2873000</v>
      </c>
      <c r="GO45" s="1206">
        <v>3230</v>
      </c>
      <c r="GP45" s="1207">
        <f>GO45*100/GN45</f>
        <v>0.11242603550295859</v>
      </c>
      <c r="GQ45" s="1583"/>
      <c r="GR45" s="1559"/>
      <c r="GS45" s="1577"/>
      <c r="GT45" s="1580"/>
      <c r="GU45" s="1205" t="s">
        <v>153</v>
      </c>
      <c r="GV45" s="1206">
        <v>2873000</v>
      </c>
      <c r="GW45" s="1206">
        <v>3230</v>
      </c>
      <c r="GX45" s="1207">
        <f>GW45*100/GV45</f>
        <v>0.11242603550295859</v>
      </c>
      <c r="GY45" s="1583"/>
      <c r="GZ45" s="1559"/>
      <c r="HA45" s="1577"/>
      <c r="HB45" s="1580"/>
      <c r="HC45" s="1205" t="s">
        <v>153</v>
      </c>
      <c r="HD45" s="1206">
        <v>2873000</v>
      </c>
      <c r="HE45" s="1206">
        <v>3230</v>
      </c>
      <c r="HF45" s="1207">
        <f>HE45*100/HD45</f>
        <v>0.11242603550295859</v>
      </c>
      <c r="HG45" s="1583"/>
      <c r="HH45" s="1559"/>
      <c r="HI45" s="1577"/>
      <c r="HJ45" s="1580"/>
      <c r="HK45" s="1205" t="s">
        <v>153</v>
      </c>
      <c r="HL45" s="1206">
        <v>2873000</v>
      </c>
      <c r="HM45" s="1206">
        <v>3230</v>
      </c>
      <c r="HN45" s="1207">
        <f>HM45*100/HL45</f>
        <v>0.11242603550295859</v>
      </c>
      <c r="HO45" s="1583"/>
      <c r="HP45" s="1559"/>
      <c r="HQ45" s="1577"/>
      <c r="HR45" s="1580"/>
      <c r="HS45" s="1205" t="s">
        <v>153</v>
      </c>
      <c r="HT45" s="1206">
        <v>2873000</v>
      </c>
      <c r="HU45" s="1206">
        <v>3230</v>
      </c>
      <c r="HV45" s="1207">
        <f>HU45*100/HT45</f>
        <v>0.11242603550295859</v>
      </c>
      <c r="HW45" s="1583"/>
      <c r="HX45" s="1559"/>
      <c r="HY45" s="1577"/>
      <c r="HZ45" s="1580"/>
      <c r="IA45" s="1205" t="s">
        <v>153</v>
      </c>
      <c r="IB45" s="1206">
        <v>2873000</v>
      </c>
      <c r="IC45" s="1206">
        <v>3230</v>
      </c>
      <c r="ID45" s="1207">
        <f>IC45*100/IB45</f>
        <v>0.11242603550295859</v>
      </c>
      <c r="IE45" s="1583"/>
      <c r="IF45" s="1559"/>
      <c r="IG45" s="1577"/>
      <c r="IH45" s="1580"/>
      <c r="II45" s="1205" t="s">
        <v>153</v>
      </c>
      <c r="IJ45" s="1206">
        <v>2873000</v>
      </c>
      <c r="IK45" s="1206">
        <v>3230</v>
      </c>
      <c r="IL45" s="1207">
        <f>IK45*100/IJ45</f>
        <v>0.11242603550295859</v>
      </c>
      <c r="IM45" s="1583"/>
      <c r="IN45" s="1559"/>
      <c r="IO45" s="1577"/>
      <c r="IP45" s="1580"/>
      <c r="IQ45" s="1205" t="s">
        <v>153</v>
      </c>
      <c r="IR45" s="1206">
        <v>2873000</v>
      </c>
      <c r="IS45" s="1206">
        <v>3230</v>
      </c>
      <c r="IT45" s="1207">
        <f>IS45*100/IR45</f>
        <v>0.11242603550295859</v>
      </c>
      <c r="IU45" s="1583"/>
      <c r="IV45" s="1559"/>
    </row>
    <row r="46" spans="1:256" ht="15.75" customHeight="1">
      <c r="A46" s="1560"/>
      <c r="B46" s="1558"/>
      <c r="C46" s="1238" t="s">
        <v>154</v>
      </c>
      <c r="D46" s="1236">
        <v>164000</v>
      </c>
      <c r="E46" s="1236">
        <v>0</v>
      </c>
      <c r="F46" s="1237">
        <f t="shared" si="3"/>
        <v>0</v>
      </c>
      <c r="G46" s="1559"/>
      <c r="H46" s="1559"/>
      <c r="I46" s="1572"/>
      <c r="J46" s="1573"/>
      <c r="K46" s="1228"/>
      <c r="L46" s="1226"/>
      <c r="M46" s="1226"/>
      <c r="N46" s="1227"/>
      <c r="O46" s="1574"/>
      <c r="P46" s="1575"/>
      <c r="Q46" s="1578"/>
      <c r="R46" s="1581"/>
      <c r="S46" s="1208"/>
      <c r="T46" s="1209"/>
      <c r="U46" s="1209"/>
      <c r="V46" s="1210"/>
      <c r="W46" s="1584"/>
      <c r="X46" s="1559"/>
      <c r="Y46" s="1578"/>
      <c r="Z46" s="1581"/>
      <c r="AA46" s="1208"/>
      <c r="AB46" s="1209"/>
      <c r="AC46" s="1209"/>
      <c r="AD46" s="1210"/>
      <c r="AE46" s="1584"/>
      <c r="AF46" s="1559"/>
      <c r="AG46" s="1578"/>
      <c r="AH46" s="1581"/>
      <c r="AI46" s="1208"/>
      <c r="AJ46" s="1209"/>
      <c r="AK46" s="1209"/>
      <c r="AL46" s="1210"/>
      <c r="AM46" s="1584"/>
      <c r="AN46" s="1559"/>
      <c r="AO46" s="1578"/>
      <c r="AP46" s="1581"/>
      <c r="AQ46" s="1208"/>
      <c r="AR46" s="1209"/>
      <c r="AS46" s="1209"/>
      <c r="AT46" s="1210"/>
      <c r="AU46" s="1584"/>
      <c r="AV46" s="1559"/>
      <c r="AW46" s="1578"/>
      <c r="AX46" s="1581"/>
      <c r="AY46" s="1208"/>
      <c r="AZ46" s="1209"/>
      <c r="BA46" s="1209"/>
      <c r="BB46" s="1210"/>
      <c r="BC46" s="1584"/>
      <c r="BD46" s="1559"/>
      <c r="BE46" s="1578"/>
      <c r="BF46" s="1581"/>
      <c r="BG46" s="1208"/>
      <c r="BH46" s="1209"/>
      <c r="BI46" s="1209"/>
      <c r="BJ46" s="1210"/>
      <c r="BK46" s="1584"/>
      <c r="BL46" s="1559"/>
      <c r="BM46" s="1578"/>
      <c r="BN46" s="1581"/>
      <c r="BO46" s="1208"/>
      <c r="BP46" s="1209"/>
      <c r="BQ46" s="1209"/>
      <c r="BR46" s="1210"/>
      <c r="BS46" s="1584"/>
      <c r="BT46" s="1559"/>
      <c r="BU46" s="1578"/>
      <c r="BV46" s="1581"/>
      <c r="BW46" s="1208"/>
      <c r="BX46" s="1209">
        <v>507000</v>
      </c>
      <c r="BY46" s="1209">
        <v>570</v>
      </c>
      <c r="BZ46" s="1210">
        <f>BY46*100/BX46</f>
        <v>0.11242603550295859</v>
      </c>
      <c r="CA46" s="1584"/>
      <c r="CB46" s="1559"/>
      <c r="CC46" s="1578"/>
      <c r="CD46" s="1581"/>
      <c r="CE46" s="1208" t="s">
        <v>154</v>
      </c>
      <c r="CF46" s="1209">
        <v>507000</v>
      </c>
      <c r="CG46" s="1209">
        <v>570</v>
      </c>
      <c r="CH46" s="1210">
        <f>CG46*100/CF46</f>
        <v>0.11242603550295859</v>
      </c>
      <c r="CI46" s="1584"/>
      <c r="CJ46" s="1559"/>
      <c r="CK46" s="1578"/>
      <c r="CL46" s="1581"/>
      <c r="CM46" s="1208" t="s">
        <v>154</v>
      </c>
      <c r="CN46" s="1209">
        <v>507000</v>
      </c>
      <c r="CO46" s="1209">
        <v>570</v>
      </c>
      <c r="CP46" s="1210">
        <f>CO46*100/CN46</f>
        <v>0.11242603550295859</v>
      </c>
      <c r="CQ46" s="1584"/>
      <c r="CR46" s="1559"/>
      <c r="CS46" s="1578"/>
      <c r="CT46" s="1581"/>
      <c r="CU46" s="1208" t="s">
        <v>154</v>
      </c>
      <c r="CV46" s="1209">
        <v>507000</v>
      </c>
      <c r="CW46" s="1209">
        <v>570</v>
      </c>
      <c r="CX46" s="1210">
        <f>CW46*100/CV46</f>
        <v>0.11242603550295859</v>
      </c>
      <c r="CY46" s="1584"/>
      <c r="CZ46" s="1559"/>
      <c r="DA46" s="1578"/>
      <c r="DB46" s="1581"/>
      <c r="DC46" s="1208" t="s">
        <v>154</v>
      </c>
      <c r="DD46" s="1209">
        <v>507000</v>
      </c>
      <c r="DE46" s="1209">
        <v>570</v>
      </c>
      <c r="DF46" s="1210">
        <f>DE46*100/DD46</f>
        <v>0.11242603550295859</v>
      </c>
      <c r="DG46" s="1584"/>
      <c r="DH46" s="1559"/>
      <c r="DI46" s="1578"/>
      <c r="DJ46" s="1581"/>
      <c r="DK46" s="1208" t="s">
        <v>154</v>
      </c>
      <c r="DL46" s="1209">
        <v>507000</v>
      </c>
      <c r="DM46" s="1209">
        <v>570</v>
      </c>
      <c r="DN46" s="1210">
        <f>DM46*100/DL46</f>
        <v>0.11242603550295859</v>
      </c>
      <c r="DO46" s="1584"/>
      <c r="DP46" s="1559"/>
      <c r="DQ46" s="1578"/>
      <c r="DR46" s="1581"/>
      <c r="DS46" s="1208" t="s">
        <v>154</v>
      </c>
      <c r="DT46" s="1209">
        <v>507000</v>
      </c>
      <c r="DU46" s="1209">
        <v>570</v>
      </c>
      <c r="DV46" s="1210">
        <f>DU46*100/DT46</f>
        <v>0.11242603550295859</v>
      </c>
      <c r="DW46" s="1584"/>
      <c r="DX46" s="1559"/>
      <c r="DY46" s="1578"/>
      <c r="DZ46" s="1581"/>
      <c r="EA46" s="1208" t="s">
        <v>154</v>
      </c>
      <c r="EB46" s="1209">
        <v>507000</v>
      </c>
      <c r="EC46" s="1209">
        <v>570</v>
      </c>
      <c r="ED46" s="1210">
        <f>EC46*100/EB46</f>
        <v>0.11242603550295859</v>
      </c>
      <c r="EE46" s="1584"/>
      <c r="EF46" s="1559"/>
      <c r="EG46" s="1578"/>
      <c r="EH46" s="1581"/>
      <c r="EI46" s="1208" t="s">
        <v>154</v>
      </c>
      <c r="EJ46" s="1209">
        <v>507000</v>
      </c>
      <c r="EK46" s="1209">
        <v>570</v>
      </c>
      <c r="EL46" s="1210">
        <f>EK46*100/EJ46</f>
        <v>0.11242603550295859</v>
      </c>
      <c r="EM46" s="1584"/>
      <c r="EN46" s="1559"/>
      <c r="EO46" s="1578"/>
      <c r="EP46" s="1581"/>
      <c r="EQ46" s="1208" t="s">
        <v>154</v>
      </c>
      <c r="ER46" s="1209">
        <v>507000</v>
      </c>
      <c r="ES46" s="1209">
        <v>570</v>
      </c>
      <c r="ET46" s="1210">
        <f>ES46*100/ER46</f>
        <v>0.11242603550295859</v>
      </c>
      <c r="EU46" s="1584"/>
      <c r="EV46" s="1559"/>
      <c r="EW46" s="1578"/>
      <c r="EX46" s="1581"/>
      <c r="EY46" s="1208" t="s">
        <v>154</v>
      </c>
      <c r="EZ46" s="1209">
        <v>507000</v>
      </c>
      <c r="FA46" s="1209">
        <v>570</v>
      </c>
      <c r="FB46" s="1210">
        <f>FA46*100/EZ46</f>
        <v>0.11242603550295859</v>
      </c>
      <c r="FC46" s="1584"/>
      <c r="FD46" s="1559"/>
      <c r="FE46" s="1578"/>
      <c r="FF46" s="1581"/>
      <c r="FG46" s="1208" t="s">
        <v>154</v>
      </c>
      <c r="FH46" s="1209">
        <v>507000</v>
      </c>
      <c r="FI46" s="1209">
        <v>570</v>
      </c>
      <c r="FJ46" s="1210">
        <f>FI46*100/FH46</f>
        <v>0.11242603550295859</v>
      </c>
      <c r="FK46" s="1584"/>
      <c r="FL46" s="1559"/>
      <c r="FM46" s="1578"/>
      <c r="FN46" s="1581"/>
      <c r="FO46" s="1208" t="s">
        <v>154</v>
      </c>
      <c r="FP46" s="1209">
        <v>507000</v>
      </c>
      <c r="FQ46" s="1209">
        <v>570</v>
      </c>
      <c r="FR46" s="1210">
        <f>FQ46*100/FP46</f>
        <v>0.11242603550295859</v>
      </c>
      <c r="FS46" s="1584"/>
      <c r="FT46" s="1559"/>
      <c r="FU46" s="1578"/>
      <c r="FV46" s="1581"/>
      <c r="FW46" s="1208" t="s">
        <v>154</v>
      </c>
      <c r="FX46" s="1209">
        <v>507000</v>
      </c>
      <c r="FY46" s="1209">
        <v>570</v>
      </c>
      <c r="FZ46" s="1210">
        <f>FY46*100/FX46</f>
        <v>0.11242603550295859</v>
      </c>
      <c r="GA46" s="1584"/>
      <c r="GB46" s="1559"/>
      <c r="GC46" s="1578"/>
      <c r="GD46" s="1581"/>
      <c r="GE46" s="1208" t="s">
        <v>154</v>
      </c>
      <c r="GF46" s="1209">
        <v>507000</v>
      </c>
      <c r="GG46" s="1209">
        <v>570</v>
      </c>
      <c r="GH46" s="1210">
        <f>GG46*100/GF46</f>
        <v>0.11242603550295859</v>
      </c>
      <c r="GI46" s="1584"/>
      <c r="GJ46" s="1559"/>
      <c r="GK46" s="1578"/>
      <c r="GL46" s="1581"/>
      <c r="GM46" s="1208" t="s">
        <v>154</v>
      </c>
      <c r="GN46" s="1209">
        <v>507000</v>
      </c>
      <c r="GO46" s="1209">
        <v>570</v>
      </c>
      <c r="GP46" s="1210">
        <f>GO46*100/GN46</f>
        <v>0.11242603550295859</v>
      </c>
      <c r="GQ46" s="1584"/>
      <c r="GR46" s="1559"/>
      <c r="GS46" s="1578"/>
      <c r="GT46" s="1581"/>
      <c r="GU46" s="1208" t="s">
        <v>154</v>
      </c>
      <c r="GV46" s="1209">
        <v>507000</v>
      </c>
      <c r="GW46" s="1209">
        <v>570</v>
      </c>
      <c r="GX46" s="1210">
        <f>GW46*100/GV46</f>
        <v>0.11242603550295859</v>
      </c>
      <c r="GY46" s="1584"/>
      <c r="GZ46" s="1559"/>
      <c r="HA46" s="1578"/>
      <c r="HB46" s="1581"/>
      <c r="HC46" s="1208" t="s">
        <v>154</v>
      </c>
      <c r="HD46" s="1209">
        <v>507000</v>
      </c>
      <c r="HE46" s="1209">
        <v>570</v>
      </c>
      <c r="HF46" s="1210">
        <f>HE46*100/HD46</f>
        <v>0.11242603550295859</v>
      </c>
      <c r="HG46" s="1584"/>
      <c r="HH46" s="1559"/>
      <c r="HI46" s="1578"/>
      <c r="HJ46" s="1581"/>
      <c r="HK46" s="1208" t="s">
        <v>154</v>
      </c>
      <c r="HL46" s="1209">
        <v>507000</v>
      </c>
      <c r="HM46" s="1209">
        <v>570</v>
      </c>
      <c r="HN46" s="1210">
        <f>HM46*100/HL46</f>
        <v>0.11242603550295859</v>
      </c>
      <c r="HO46" s="1584"/>
      <c r="HP46" s="1559"/>
      <c r="HQ46" s="1578"/>
      <c r="HR46" s="1581"/>
      <c r="HS46" s="1208" t="s">
        <v>154</v>
      </c>
      <c r="HT46" s="1209">
        <v>507000</v>
      </c>
      <c r="HU46" s="1209">
        <v>570</v>
      </c>
      <c r="HV46" s="1210">
        <f>HU46*100/HT46</f>
        <v>0.11242603550295859</v>
      </c>
      <c r="HW46" s="1584"/>
      <c r="HX46" s="1559"/>
      <c r="HY46" s="1578"/>
      <c r="HZ46" s="1581"/>
      <c r="IA46" s="1208" t="s">
        <v>154</v>
      </c>
      <c r="IB46" s="1209">
        <v>507000</v>
      </c>
      <c r="IC46" s="1209">
        <v>570</v>
      </c>
      <c r="ID46" s="1210">
        <f>IC46*100/IB46</f>
        <v>0.11242603550295859</v>
      </c>
      <c r="IE46" s="1584"/>
      <c r="IF46" s="1559"/>
      <c r="IG46" s="1578"/>
      <c r="IH46" s="1581"/>
      <c r="II46" s="1208" t="s">
        <v>154</v>
      </c>
      <c r="IJ46" s="1209">
        <v>507000</v>
      </c>
      <c r="IK46" s="1209">
        <v>570</v>
      </c>
      <c r="IL46" s="1210">
        <f>IK46*100/IJ46</f>
        <v>0.11242603550295859</v>
      </c>
      <c r="IM46" s="1584"/>
      <c r="IN46" s="1559"/>
      <c r="IO46" s="1578"/>
      <c r="IP46" s="1581"/>
      <c r="IQ46" s="1208" t="s">
        <v>154</v>
      </c>
      <c r="IR46" s="1209">
        <v>507000</v>
      </c>
      <c r="IS46" s="1209">
        <v>570</v>
      </c>
      <c r="IT46" s="1210">
        <f>IS46*100/IR46</f>
        <v>0.11242603550295859</v>
      </c>
      <c r="IU46" s="1584"/>
      <c r="IV46" s="1559"/>
    </row>
    <row r="47" spans="1:8" ht="25.5" customHeight="1">
      <c r="A47" s="1560" t="s">
        <v>284</v>
      </c>
      <c r="B47" s="1558">
        <v>71095</v>
      </c>
      <c r="C47" s="1239" t="s">
        <v>1298</v>
      </c>
      <c r="D47" s="1233">
        <f>D48+D49</f>
        <v>590000</v>
      </c>
      <c r="E47" s="1233">
        <f>E48+E49</f>
        <v>0</v>
      </c>
      <c r="F47" s="1234">
        <f aca="true" t="shared" si="4" ref="F47:F55">E47*100/D47</f>
        <v>0</v>
      </c>
      <c r="G47" s="1559" t="s">
        <v>148</v>
      </c>
      <c r="H47" s="1559" t="s">
        <v>799</v>
      </c>
    </row>
    <row r="48" spans="1:8" ht="15.75" customHeight="1">
      <c r="A48" s="1560"/>
      <c r="B48" s="1558"/>
      <c r="C48" s="1235" t="s">
        <v>153</v>
      </c>
      <c r="D48" s="1236">
        <v>413000</v>
      </c>
      <c r="E48" s="1236">
        <v>0</v>
      </c>
      <c r="F48" s="1237">
        <f t="shared" si="4"/>
        <v>0</v>
      </c>
      <c r="G48" s="1559"/>
      <c r="H48" s="1559"/>
    </row>
    <row r="49" spans="1:8" ht="15.75" customHeight="1">
      <c r="A49" s="1560"/>
      <c r="B49" s="1558"/>
      <c r="C49" s="1238" t="s">
        <v>154</v>
      </c>
      <c r="D49" s="1236">
        <v>177000</v>
      </c>
      <c r="E49" s="1236">
        <v>0</v>
      </c>
      <c r="F49" s="1237">
        <f t="shared" si="4"/>
        <v>0</v>
      </c>
      <c r="G49" s="1559"/>
      <c r="H49" s="1559"/>
    </row>
    <row r="50" spans="1:8" ht="33" customHeight="1">
      <c r="A50" s="1560" t="s">
        <v>957</v>
      </c>
      <c r="B50" s="1558">
        <v>75023</v>
      </c>
      <c r="C50" s="1364" t="s">
        <v>1585</v>
      </c>
      <c r="D50" s="1233">
        <f>D51+D52</f>
        <v>1209000</v>
      </c>
      <c r="E50" s="1233">
        <f>E51+E52</f>
        <v>0</v>
      </c>
      <c r="F50" s="1234">
        <f t="shared" si="4"/>
        <v>0</v>
      </c>
      <c r="G50" s="1559" t="s">
        <v>1370</v>
      </c>
      <c r="H50" s="1559" t="s">
        <v>799</v>
      </c>
    </row>
    <row r="51" spans="1:8" ht="15.75" customHeight="1">
      <c r="A51" s="1560"/>
      <c r="B51" s="1558"/>
      <c r="C51" s="1235" t="s">
        <v>153</v>
      </c>
      <c r="D51" s="1236">
        <v>1027650</v>
      </c>
      <c r="E51" s="1236">
        <v>0</v>
      </c>
      <c r="F51" s="1237">
        <f t="shared" si="4"/>
        <v>0</v>
      </c>
      <c r="G51" s="1559"/>
      <c r="H51" s="1559"/>
    </row>
    <row r="52" spans="1:8" ht="15.75" customHeight="1">
      <c r="A52" s="1560"/>
      <c r="B52" s="1558"/>
      <c r="C52" s="1238" t="s">
        <v>154</v>
      </c>
      <c r="D52" s="1236">
        <v>181350</v>
      </c>
      <c r="E52" s="1236">
        <v>0</v>
      </c>
      <c r="F52" s="1237">
        <f t="shared" si="4"/>
        <v>0</v>
      </c>
      <c r="G52" s="1559"/>
      <c r="H52" s="1559"/>
    </row>
    <row r="53" spans="1:8" ht="33.75" customHeight="1">
      <c r="A53" s="1560" t="s">
        <v>958</v>
      </c>
      <c r="B53" s="1558">
        <v>75023</v>
      </c>
      <c r="C53" s="264" t="s">
        <v>1569</v>
      </c>
      <c r="D53" s="1233">
        <f>D54+D55</f>
        <v>65000</v>
      </c>
      <c r="E53" s="1233">
        <f>E54+E55</f>
        <v>0</v>
      </c>
      <c r="F53" s="1234">
        <f t="shared" si="4"/>
        <v>0</v>
      </c>
      <c r="G53" s="1559" t="s">
        <v>1571</v>
      </c>
      <c r="H53" s="1559" t="s">
        <v>799</v>
      </c>
    </row>
    <row r="54" spans="1:8" ht="15.75" customHeight="1">
      <c r="A54" s="1560"/>
      <c r="B54" s="1558"/>
      <c r="C54" s="1235" t="s">
        <v>153</v>
      </c>
      <c r="D54" s="1236">
        <v>55250</v>
      </c>
      <c r="E54" s="1236">
        <v>0</v>
      </c>
      <c r="F54" s="1237">
        <f t="shared" si="4"/>
        <v>0</v>
      </c>
      <c r="G54" s="1559"/>
      <c r="H54" s="1559"/>
    </row>
    <row r="55" spans="1:8" ht="15.75" customHeight="1">
      <c r="A55" s="1560"/>
      <c r="B55" s="1558"/>
      <c r="C55" s="1238" t="s">
        <v>154</v>
      </c>
      <c r="D55" s="1236">
        <v>9750</v>
      </c>
      <c r="E55" s="1236">
        <v>0</v>
      </c>
      <c r="F55" s="1237">
        <f t="shared" si="4"/>
        <v>0</v>
      </c>
      <c r="G55" s="1559"/>
      <c r="H55" s="1559"/>
    </row>
    <row r="56" spans="1:8" ht="24.75" customHeight="1">
      <c r="A56" s="1560" t="s">
        <v>959</v>
      </c>
      <c r="B56" s="1558">
        <v>75095</v>
      </c>
      <c r="C56" s="1239" t="s">
        <v>1299</v>
      </c>
      <c r="D56" s="1233">
        <f>D57+D58</f>
        <v>3571500</v>
      </c>
      <c r="E56" s="1233">
        <f>E57+E58</f>
        <v>48466.43</v>
      </c>
      <c r="F56" s="1234">
        <f aca="true" t="shared" si="5" ref="F56:F73">E56*100/D56</f>
        <v>1.357032899342013</v>
      </c>
      <c r="G56" s="1559" t="s">
        <v>148</v>
      </c>
      <c r="H56" s="1559">
        <v>129</v>
      </c>
    </row>
    <row r="57" spans="1:8" ht="15.75" customHeight="1">
      <c r="A57" s="1560"/>
      <c r="B57" s="1558"/>
      <c r="C57" s="1235" t="s">
        <v>153</v>
      </c>
      <c r="D57" s="1236">
        <v>3000700</v>
      </c>
      <c r="E57" s="1236">
        <v>38773.14</v>
      </c>
      <c r="F57" s="1237">
        <f t="shared" si="5"/>
        <v>1.2921365014829873</v>
      </c>
      <c r="G57" s="1559"/>
      <c r="H57" s="1559"/>
    </row>
    <row r="58" spans="1:8" ht="15.75" customHeight="1">
      <c r="A58" s="1560"/>
      <c r="B58" s="1558"/>
      <c r="C58" s="1238" t="s">
        <v>154</v>
      </c>
      <c r="D58" s="1236">
        <v>570800</v>
      </c>
      <c r="E58" s="1236">
        <v>9693.29</v>
      </c>
      <c r="F58" s="1237">
        <f t="shared" si="5"/>
        <v>1.6981937631394537</v>
      </c>
      <c r="G58" s="1559"/>
      <c r="H58" s="1559"/>
    </row>
    <row r="59" spans="1:8" ht="24.75" customHeight="1">
      <c r="A59" s="1560" t="s">
        <v>960</v>
      </c>
      <c r="B59" s="1558">
        <v>80104</v>
      </c>
      <c r="C59" s="1239" t="s">
        <v>1300</v>
      </c>
      <c r="D59" s="1233">
        <f>D60+D61</f>
        <v>4380000</v>
      </c>
      <c r="E59" s="1233">
        <f>E60+E61</f>
        <v>0</v>
      </c>
      <c r="F59" s="1234">
        <f t="shared" si="5"/>
        <v>0</v>
      </c>
      <c r="G59" s="1559" t="s">
        <v>148</v>
      </c>
      <c r="H59" s="1559" t="s">
        <v>799</v>
      </c>
    </row>
    <row r="60" spans="1:8" ht="15.75" customHeight="1">
      <c r="A60" s="1560"/>
      <c r="B60" s="1558"/>
      <c r="C60" s="1235" t="s">
        <v>153</v>
      </c>
      <c r="D60" s="1236">
        <v>3723000</v>
      </c>
      <c r="E60" s="1236">
        <v>0</v>
      </c>
      <c r="F60" s="1237">
        <f t="shared" si="5"/>
        <v>0</v>
      </c>
      <c r="G60" s="1559"/>
      <c r="H60" s="1559"/>
    </row>
    <row r="61" spans="1:8" ht="15.75" customHeight="1">
      <c r="A61" s="1560"/>
      <c r="B61" s="1558"/>
      <c r="C61" s="1238" t="s">
        <v>154</v>
      </c>
      <c r="D61" s="1236">
        <v>657000</v>
      </c>
      <c r="E61" s="1236">
        <v>0</v>
      </c>
      <c r="F61" s="1237">
        <f t="shared" si="5"/>
        <v>0</v>
      </c>
      <c r="G61" s="1559"/>
      <c r="H61" s="1559"/>
    </row>
    <row r="62" spans="1:8" ht="15.75" customHeight="1">
      <c r="A62" s="1560" t="s">
        <v>966</v>
      </c>
      <c r="B62" s="1558">
        <v>85395</v>
      </c>
      <c r="C62" s="1232" t="s">
        <v>1575</v>
      </c>
      <c r="D62" s="1233">
        <f>D63+D64</f>
        <v>30000</v>
      </c>
      <c r="E62" s="1233">
        <f>E63+E64</f>
        <v>0</v>
      </c>
      <c r="F62" s="1234">
        <f t="shared" si="5"/>
        <v>0</v>
      </c>
      <c r="G62" s="1559" t="s">
        <v>1576</v>
      </c>
      <c r="H62" s="1559" t="s">
        <v>799</v>
      </c>
    </row>
    <row r="63" spans="1:8" ht="15.75" customHeight="1">
      <c r="A63" s="1560"/>
      <c r="B63" s="1558"/>
      <c r="C63" s="1235" t="s">
        <v>153</v>
      </c>
      <c r="D63" s="1236">
        <v>25000</v>
      </c>
      <c r="E63" s="1236">
        <v>0</v>
      </c>
      <c r="F63" s="1237">
        <f t="shared" si="5"/>
        <v>0</v>
      </c>
      <c r="G63" s="1559"/>
      <c r="H63" s="1559"/>
    </row>
    <row r="64" spans="1:8" ht="15.75" customHeight="1">
      <c r="A64" s="1560"/>
      <c r="B64" s="1558"/>
      <c r="C64" s="1238" t="s">
        <v>154</v>
      </c>
      <c r="D64" s="1236">
        <v>5000</v>
      </c>
      <c r="E64" s="1236">
        <v>0</v>
      </c>
      <c r="F64" s="1237">
        <f t="shared" si="5"/>
        <v>0</v>
      </c>
      <c r="G64" s="1559"/>
      <c r="H64" s="1559"/>
    </row>
    <row r="65" spans="1:8" ht="24.75" customHeight="1">
      <c r="A65" s="1560" t="s">
        <v>967</v>
      </c>
      <c r="B65" s="1558">
        <v>90002</v>
      </c>
      <c r="C65" s="1239" t="s">
        <v>1357</v>
      </c>
      <c r="D65" s="1233">
        <f>D66+D67</f>
        <v>1380000</v>
      </c>
      <c r="E65" s="1233">
        <f>E66+E67</f>
        <v>13136.400000000001</v>
      </c>
      <c r="F65" s="1234">
        <f t="shared" si="5"/>
        <v>0.951913043478261</v>
      </c>
      <c r="G65" s="1559" t="s">
        <v>148</v>
      </c>
      <c r="H65" s="1559">
        <v>151</v>
      </c>
    </row>
    <row r="66" spans="1:8" ht="15.75" customHeight="1">
      <c r="A66" s="1560"/>
      <c r="B66" s="1558"/>
      <c r="C66" s="1235" t="s">
        <v>153</v>
      </c>
      <c r="D66" s="1236">
        <v>1173000</v>
      </c>
      <c r="E66" s="1236">
        <v>11165.94</v>
      </c>
      <c r="F66" s="1237">
        <f t="shared" si="5"/>
        <v>0.9519130434782609</v>
      </c>
      <c r="G66" s="1559"/>
      <c r="H66" s="1559"/>
    </row>
    <row r="67" spans="1:8" ht="15.75" customHeight="1">
      <c r="A67" s="1560"/>
      <c r="B67" s="1558"/>
      <c r="C67" s="1238" t="s">
        <v>154</v>
      </c>
      <c r="D67" s="1236">
        <v>207000</v>
      </c>
      <c r="E67" s="1236">
        <v>1970.46</v>
      </c>
      <c r="F67" s="1237">
        <f t="shared" si="5"/>
        <v>0.9519130434782609</v>
      </c>
      <c r="G67" s="1559"/>
      <c r="H67" s="1559"/>
    </row>
    <row r="68" spans="1:256" ht="39" customHeight="1">
      <c r="A68" s="1560" t="s">
        <v>968</v>
      </c>
      <c r="B68" s="1558">
        <v>90095</v>
      </c>
      <c r="C68" s="1239" t="s">
        <v>1568</v>
      </c>
      <c r="D68" s="1233">
        <f>D69+D70</f>
        <v>2190000</v>
      </c>
      <c r="E68" s="1233">
        <f>E69+E70</f>
        <v>0</v>
      </c>
      <c r="F68" s="1234">
        <f>E68*100/D68</f>
        <v>0</v>
      </c>
      <c r="G68" s="1559" t="s">
        <v>148</v>
      </c>
      <c r="H68" s="1559" t="s">
        <v>799</v>
      </c>
      <c r="I68" s="1572"/>
      <c r="J68" s="1573"/>
      <c r="K68" s="1222"/>
      <c r="L68" s="1223"/>
      <c r="M68" s="1223"/>
      <c r="N68" s="1224"/>
      <c r="O68" s="1574"/>
      <c r="P68" s="1575"/>
      <c r="Q68" s="1576"/>
      <c r="R68" s="1579"/>
      <c r="S68" s="1217"/>
      <c r="T68" s="1202"/>
      <c r="U68" s="1202"/>
      <c r="V68" s="1203"/>
      <c r="W68" s="1582"/>
      <c r="X68" s="1559"/>
      <c r="Y68" s="1576"/>
      <c r="Z68" s="1579"/>
      <c r="AA68" s="1217"/>
      <c r="AB68" s="1202"/>
      <c r="AC68" s="1202"/>
      <c r="AD68" s="1203"/>
      <c r="AE68" s="1582"/>
      <c r="AF68" s="1559"/>
      <c r="AG68" s="1576"/>
      <c r="AH68" s="1579"/>
      <c r="AI68" s="1217"/>
      <c r="AJ68" s="1202"/>
      <c r="AK68" s="1202"/>
      <c r="AL68" s="1203"/>
      <c r="AM68" s="1582"/>
      <c r="AN68" s="1559"/>
      <c r="AO68" s="1576"/>
      <c r="AP68" s="1579"/>
      <c r="AQ68" s="1217"/>
      <c r="AR68" s="1202"/>
      <c r="AS68" s="1202"/>
      <c r="AT68" s="1203"/>
      <c r="AU68" s="1582"/>
      <c r="AV68" s="1559"/>
      <c r="AW68" s="1576"/>
      <c r="AX68" s="1579"/>
      <c r="AY68" s="1217"/>
      <c r="AZ68" s="1202"/>
      <c r="BA68" s="1202"/>
      <c r="BB68" s="1203"/>
      <c r="BC68" s="1582"/>
      <c r="BD68" s="1559"/>
      <c r="BE68" s="1576"/>
      <c r="BF68" s="1579"/>
      <c r="BG68" s="1217"/>
      <c r="BH68" s="1202"/>
      <c r="BI68" s="1202"/>
      <c r="BJ68" s="1203"/>
      <c r="BK68" s="1582"/>
      <c r="BL68" s="1559"/>
      <c r="BM68" s="1576"/>
      <c r="BN68" s="1579"/>
      <c r="BO68" s="1217"/>
      <c r="BP68" s="1202"/>
      <c r="BQ68" s="1202"/>
      <c r="BR68" s="1203"/>
      <c r="BS68" s="1582"/>
      <c r="BT68" s="1559"/>
      <c r="BU68" s="1576"/>
      <c r="BV68" s="1579"/>
      <c r="BW68" s="1217"/>
      <c r="BX68" s="1202">
        <f>BX69+BX70</f>
        <v>1380000</v>
      </c>
      <c r="BY68" s="1202">
        <f>BY69+BY70</f>
        <v>13136.400000000001</v>
      </c>
      <c r="BZ68" s="1203">
        <f>BY68*100/BX68</f>
        <v>0.951913043478261</v>
      </c>
      <c r="CA68" s="1582" t="s">
        <v>148</v>
      </c>
      <c r="CB68" s="1559"/>
      <c r="CC68" s="1576" t="s">
        <v>955</v>
      </c>
      <c r="CD68" s="1579">
        <v>90002</v>
      </c>
      <c r="CE68" s="1217" t="s">
        <v>1357</v>
      </c>
      <c r="CF68" s="1202">
        <f>CF69+CF70</f>
        <v>1380000</v>
      </c>
      <c r="CG68" s="1202">
        <f>CG69+CG70</f>
        <v>13136.400000000001</v>
      </c>
      <c r="CH68" s="1203">
        <f>CG68*100/CF68</f>
        <v>0.951913043478261</v>
      </c>
      <c r="CI68" s="1582" t="s">
        <v>148</v>
      </c>
      <c r="CJ68" s="1559"/>
      <c r="CK68" s="1576" t="s">
        <v>955</v>
      </c>
      <c r="CL68" s="1579">
        <v>90002</v>
      </c>
      <c r="CM68" s="1217" t="s">
        <v>1357</v>
      </c>
      <c r="CN68" s="1202">
        <f>CN69+CN70</f>
        <v>1380000</v>
      </c>
      <c r="CO68" s="1202">
        <f>CO69+CO70</f>
        <v>13136.400000000001</v>
      </c>
      <c r="CP68" s="1203">
        <f>CO68*100/CN68</f>
        <v>0.951913043478261</v>
      </c>
      <c r="CQ68" s="1582" t="s">
        <v>148</v>
      </c>
      <c r="CR68" s="1559"/>
      <c r="CS68" s="1576" t="s">
        <v>955</v>
      </c>
      <c r="CT68" s="1579">
        <v>90002</v>
      </c>
      <c r="CU68" s="1217" t="s">
        <v>1357</v>
      </c>
      <c r="CV68" s="1202">
        <f>CV69+CV70</f>
        <v>1380000</v>
      </c>
      <c r="CW68" s="1202">
        <f>CW69+CW70</f>
        <v>13136.400000000001</v>
      </c>
      <c r="CX68" s="1203">
        <f>CW68*100/CV68</f>
        <v>0.951913043478261</v>
      </c>
      <c r="CY68" s="1582" t="s">
        <v>148</v>
      </c>
      <c r="CZ68" s="1559"/>
      <c r="DA68" s="1576" t="s">
        <v>955</v>
      </c>
      <c r="DB68" s="1579">
        <v>90002</v>
      </c>
      <c r="DC68" s="1217" t="s">
        <v>1357</v>
      </c>
      <c r="DD68" s="1202">
        <f>DD69+DD70</f>
        <v>1380000</v>
      </c>
      <c r="DE68" s="1202">
        <f>DE69+DE70</f>
        <v>13136.400000000001</v>
      </c>
      <c r="DF68" s="1203">
        <f>DE68*100/DD68</f>
        <v>0.951913043478261</v>
      </c>
      <c r="DG68" s="1582" t="s">
        <v>148</v>
      </c>
      <c r="DH68" s="1559"/>
      <c r="DI68" s="1576" t="s">
        <v>955</v>
      </c>
      <c r="DJ68" s="1579">
        <v>90002</v>
      </c>
      <c r="DK68" s="1217" t="s">
        <v>1357</v>
      </c>
      <c r="DL68" s="1202">
        <f>DL69+DL70</f>
        <v>1380000</v>
      </c>
      <c r="DM68" s="1202">
        <f>DM69+DM70</f>
        <v>13136.400000000001</v>
      </c>
      <c r="DN68" s="1203">
        <f>DM68*100/DL68</f>
        <v>0.951913043478261</v>
      </c>
      <c r="DO68" s="1582" t="s">
        <v>148</v>
      </c>
      <c r="DP68" s="1559"/>
      <c r="DQ68" s="1576" t="s">
        <v>955</v>
      </c>
      <c r="DR68" s="1579">
        <v>90002</v>
      </c>
      <c r="DS68" s="1217" t="s">
        <v>1357</v>
      </c>
      <c r="DT68" s="1202">
        <f>DT69+DT70</f>
        <v>1380000</v>
      </c>
      <c r="DU68" s="1202">
        <f>DU69+DU70</f>
        <v>13136.400000000001</v>
      </c>
      <c r="DV68" s="1203">
        <f>DU68*100/DT68</f>
        <v>0.951913043478261</v>
      </c>
      <c r="DW68" s="1582" t="s">
        <v>148</v>
      </c>
      <c r="DX68" s="1559"/>
      <c r="DY68" s="1576" t="s">
        <v>955</v>
      </c>
      <c r="DZ68" s="1579">
        <v>90002</v>
      </c>
      <c r="EA68" s="1217" t="s">
        <v>1357</v>
      </c>
      <c r="EB68" s="1202">
        <f>EB69+EB70</f>
        <v>1380000</v>
      </c>
      <c r="EC68" s="1202">
        <f>EC69+EC70</f>
        <v>13136.400000000001</v>
      </c>
      <c r="ED68" s="1203">
        <f>EC68*100/EB68</f>
        <v>0.951913043478261</v>
      </c>
      <c r="EE68" s="1582" t="s">
        <v>148</v>
      </c>
      <c r="EF68" s="1559"/>
      <c r="EG68" s="1576" t="s">
        <v>955</v>
      </c>
      <c r="EH68" s="1579">
        <v>90002</v>
      </c>
      <c r="EI68" s="1217" t="s">
        <v>1357</v>
      </c>
      <c r="EJ68" s="1202">
        <f>EJ69+EJ70</f>
        <v>1380000</v>
      </c>
      <c r="EK68" s="1202">
        <f>EK69+EK70</f>
        <v>13136.400000000001</v>
      </c>
      <c r="EL68" s="1203">
        <f>EK68*100/EJ68</f>
        <v>0.951913043478261</v>
      </c>
      <c r="EM68" s="1582" t="s">
        <v>148</v>
      </c>
      <c r="EN68" s="1559"/>
      <c r="EO68" s="1576" t="s">
        <v>955</v>
      </c>
      <c r="EP68" s="1579">
        <v>90002</v>
      </c>
      <c r="EQ68" s="1217" t="s">
        <v>1357</v>
      </c>
      <c r="ER68" s="1202">
        <f>ER69+ER70</f>
        <v>1380000</v>
      </c>
      <c r="ES68" s="1202">
        <f>ES69+ES70</f>
        <v>13136.400000000001</v>
      </c>
      <c r="ET68" s="1203">
        <f>ES68*100/ER68</f>
        <v>0.951913043478261</v>
      </c>
      <c r="EU68" s="1582" t="s">
        <v>148</v>
      </c>
      <c r="EV68" s="1559"/>
      <c r="EW68" s="1576" t="s">
        <v>955</v>
      </c>
      <c r="EX68" s="1579">
        <v>90002</v>
      </c>
      <c r="EY68" s="1217" t="s">
        <v>1357</v>
      </c>
      <c r="EZ68" s="1202">
        <f>EZ69+EZ70</f>
        <v>1380000</v>
      </c>
      <c r="FA68" s="1202">
        <f>FA69+FA70</f>
        <v>13136.400000000001</v>
      </c>
      <c r="FB68" s="1203">
        <f>FA68*100/EZ68</f>
        <v>0.951913043478261</v>
      </c>
      <c r="FC68" s="1582" t="s">
        <v>148</v>
      </c>
      <c r="FD68" s="1559"/>
      <c r="FE68" s="1576" t="s">
        <v>955</v>
      </c>
      <c r="FF68" s="1579">
        <v>90002</v>
      </c>
      <c r="FG68" s="1217" t="s">
        <v>1357</v>
      </c>
      <c r="FH68" s="1202">
        <f>FH69+FH70</f>
        <v>1380000</v>
      </c>
      <c r="FI68" s="1202">
        <f>FI69+FI70</f>
        <v>13136.400000000001</v>
      </c>
      <c r="FJ68" s="1203">
        <f>FI68*100/FH68</f>
        <v>0.951913043478261</v>
      </c>
      <c r="FK68" s="1582" t="s">
        <v>148</v>
      </c>
      <c r="FL68" s="1559"/>
      <c r="FM68" s="1576" t="s">
        <v>955</v>
      </c>
      <c r="FN68" s="1579">
        <v>90002</v>
      </c>
      <c r="FO68" s="1217" t="s">
        <v>1357</v>
      </c>
      <c r="FP68" s="1202">
        <f>FP69+FP70</f>
        <v>1380000</v>
      </c>
      <c r="FQ68" s="1202">
        <f>FQ69+FQ70</f>
        <v>13136.400000000001</v>
      </c>
      <c r="FR68" s="1203">
        <f>FQ68*100/FP68</f>
        <v>0.951913043478261</v>
      </c>
      <c r="FS68" s="1582" t="s">
        <v>148</v>
      </c>
      <c r="FT68" s="1559"/>
      <c r="FU68" s="1576" t="s">
        <v>955</v>
      </c>
      <c r="FV68" s="1579">
        <v>90002</v>
      </c>
      <c r="FW68" s="1217" t="s">
        <v>1357</v>
      </c>
      <c r="FX68" s="1202">
        <f>FX69+FX70</f>
        <v>1380000</v>
      </c>
      <c r="FY68" s="1202">
        <f>FY69+FY70</f>
        <v>13136.400000000001</v>
      </c>
      <c r="FZ68" s="1203">
        <f>FY68*100/FX68</f>
        <v>0.951913043478261</v>
      </c>
      <c r="GA68" s="1582" t="s">
        <v>148</v>
      </c>
      <c r="GB68" s="1559"/>
      <c r="GC68" s="1576" t="s">
        <v>955</v>
      </c>
      <c r="GD68" s="1579">
        <v>90002</v>
      </c>
      <c r="GE68" s="1217" t="s">
        <v>1357</v>
      </c>
      <c r="GF68" s="1202">
        <f>GF69+GF70</f>
        <v>1380000</v>
      </c>
      <c r="GG68" s="1202">
        <f>GG69+GG70</f>
        <v>13136.400000000001</v>
      </c>
      <c r="GH68" s="1203">
        <f>GG68*100/GF68</f>
        <v>0.951913043478261</v>
      </c>
      <c r="GI68" s="1582" t="s">
        <v>148</v>
      </c>
      <c r="GJ68" s="1559"/>
      <c r="GK68" s="1576" t="s">
        <v>955</v>
      </c>
      <c r="GL68" s="1579">
        <v>90002</v>
      </c>
      <c r="GM68" s="1217" t="s">
        <v>1357</v>
      </c>
      <c r="GN68" s="1202">
        <f>GN69+GN70</f>
        <v>1380000</v>
      </c>
      <c r="GO68" s="1202">
        <f>GO69+GO70</f>
        <v>13136.400000000001</v>
      </c>
      <c r="GP68" s="1203">
        <f>GO68*100/GN68</f>
        <v>0.951913043478261</v>
      </c>
      <c r="GQ68" s="1582" t="s">
        <v>148</v>
      </c>
      <c r="GR68" s="1559"/>
      <c r="GS68" s="1576" t="s">
        <v>955</v>
      </c>
      <c r="GT68" s="1579">
        <v>90002</v>
      </c>
      <c r="GU68" s="1217" t="s">
        <v>1357</v>
      </c>
      <c r="GV68" s="1202">
        <f>GV69+GV70</f>
        <v>1380000</v>
      </c>
      <c r="GW68" s="1202">
        <f>GW69+GW70</f>
        <v>13136.400000000001</v>
      </c>
      <c r="GX68" s="1203">
        <f>GW68*100/GV68</f>
        <v>0.951913043478261</v>
      </c>
      <c r="GY68" s="1582" t="s">
        <v>148</v>
      </c>
      <c r="GZ68" s="1559"/>
      <c r="HA68" s="1576" t="s">
        <v>955</v>
      </c>
      <c r="HB68" s="1579">
        <v>90002</v>
      </c>
      <c r="HC68" s="1217" t="s">
        <v>1357</v>
      </c>
      <c r="HD68" s="1202">
        <f>HD69+HD70</f>
        <v>1380000</v>
      </c>
      <c r="HE68" s="1202">
        <f>HE69+HE70</f>
        <v>13136.400000000001</v>
      </c>
      <c r="HF68" s="1203">
        <f>HE68*100/HD68</f>
        <v>0.951913043478261</v>
      </c>
      <c r="HG68" s="1582" t="s">
        <v>148</v>
      </c>
      <c r="HH68" s="1559"/>
      <c r="HI68" s="1576" t="s">
        <v>955</v>
      </c>
      <c r="HJ68" s="1579">
        <v>90002</v>
      </c>
      <c r="HK68" s="1217" t="s">
        <v>1357</v>
      </c>
      <c r="HL68" s="1202">
        <f>HL69+HL70</f>
        <v>1380000</v>
      </c>
      <c r="HM68" s="1202">
        <f>HM69+HM70</f>
        <v>13136.400000000001</v>
      </c>
      <c r="HN68" s="1203">
        <f>HM68*100/HL68</f>
        <v>0.951913043478261</v>
      </c>
      <c r="HO68" s="1582" t="s">
        <v>148</v>
      </c>
      <c r="HP68" s="1559"/>
      <c r="HQ68" s="1576" t="s">
        <v>955</v>
      </c>
      <c r="HR68" s="1579">
        <v>90002</v>
      </c>
      <c r="HS68" s="1217" t="s">
        <v>1357</v>
      </c>
      <c r="HT68" s="1202">
        <f>HT69+HT70</f>
        <v>1380000</v>
      </c>
      <c r="HU68" s="1202">
        <f>HU69+HU70</f>
        <v>13136.400000000001</v>
      </c>
      <c r="HV68" s="1203">
        <f>HU68*100/HT68</f>
        <v>0.951913043478261</v>
      </c>
      <c r="HW68" s="1582" t="s">
        <v>148</v>
      </c>
      <c r="HX68" s="1559"/>
      <c r="HY68" s="1576" t="s">
        <v>955</v>
      </c>
      <c r="HZ68" s="1579">
        <v>90002</v>
      </c>
      <c r="IA68" s="1217" t="s">
        <v>1357</v>
      </c>
      <c r="IB68" s="1202">
        <f>IB69+IB70</f>
        <v>1380000</v>
      </c>
      <c r="IC68" s="1202">
        <f>IC69+IC70</f>
        <v>13136.400000000001</v>
      </c>
      <c r="ID68" s="1203">
        <f>IC68*100/IB68</f>
        <v>0.951913043478261</v>
      </c>
      <c r="IE68" s="1582" t="s">
        <v>148</v>
      </c>
      <c r="IF68" s="1559"/>
      <c r="IG68" s="1576" t="s">
        <v>955</v>
      </c>
      <c r="IH68" s="1579">
        <v>90002</v>
      </c>
      <c r="II68" s="1217" t="s">
        <v>1357</v>
      </c>
      <c r="IJ68" s="1202">
        <f>IJ69+IJ70</f>
        <v>1380000</v>
      </c>
      <c r="IK68" s="1202">
        <f>IK69+IK70</f>
        <v>13136.400000000001</v>
      </c>
      <c r="IL68" s="1203">
        <f>IK68*100/IJ68</f>
        <v>0.951913043478261</v>
      </c>
      <c r="IM68" s="1582" t="s">
        <v>148</v>
      </c>
      <c r="IN68" s="1559"/>
      <c r="IO68" s="1576" t="s">
        <v>955</v>
      </c>
      <c r="IP68" s="1579">
        <v>90002</v>
      </c>
      <c r="IQ68" s="1217" t="s">
        <v>1357</v>
      </c>
      <c r="IR68" s="1202">
        <f>IR69+IR70</f>
        <v>1380000</v>
      </c>
      <c r="IS68" s="1202">
        <f>IS69+IS70</f>
        <v>13136.400000000001</v>
      </c>
      <c r="IT68" s="1203">
        <f>IS68*100/IR68</f>
        <v>0.951913043478261</v>
      </c>
      <c r="IU68" s="1582" t="s">
        <v>148</v>
      </c>
      <c r="IV68" s="1559"/>
    </row>
    <row r="69" spans="1:256" ht="15.75" customHeight="1">
      <c r="A69" s="1560"/>
      <c r="B69" s="1558"/>
      <c r="C69" s="1235" t="s">
        <v>153</v>
      </c>
      <c r="D69" s="1236">
        <v>1870000</v>
      </c>
      <c r="E69" s="1236">
        <v>0</v>
      </c>
      <c r="F69" s="1237">
        <f>E69*100/D69</f>
        <v>0</v>
      </c>
      <c r="G69" s="1559"/>
      <c r="H69" s="1559"/>
      <c r="I69" s="1572"/>
      <c r="J69" s="1573"/>
      <c r="K69" s="1225"/>
      <c r="L69" s="1226"/>
      <c r="M69" s="1226"/>
      <c r="N69" s="1227"/>
      <c r="O69" s="1574"/>
      <c r="P69" s="1575"/>
      <c r="Q69" s="1577"/>
      <c r="R69" s="1580"/>
      <c r="S69" s="1205"/>
      <c r="T69" s="1206"/>
      <c r="U69" s="1206"/>
      <c r="V69" s="1207"/>
      <c r="W69" s="1583"/>
      <c r="X69" s="1559"/>
      <c r="Y69" s="1577"/>
      <c r="Z69" s="1580"/>
      <c r="AA69" s="1205"/>
      <c r="AB69" s="1206"/>
      <c r="AC69" s="1206"/>
      <c r="AD69" s="1207"/>
      <c r="AE69" s="1583"/>
      <c r="AF69" s="1559"/>
      <c r="AG69" s="1577"/>
      <c r="AH69" s="1580"/>
      <c r="AI69" s="1205"/>
      <c r="AJ69" s="1206"/>
      <c r="AK69" s="1206"/>
      <c r="AL69" s="1207"/>
      <c r="AM69" s="1583"/>
      <c r="AN69" s="1559"/>
      <c r="AO69" s="1577"/>
      <c r="AP69" s="1580"/>
      <c r="AQ69" s="1205"/>
      <c r="AR69" s="1206"/>
      <c r="AS69" s="1206"/>
      <c r="AT69" s="1207"/>
      <c r="AU69" s="1583"/>
      <c r="AV69" s="1559"/>
      <c r="AW69" s="1577"/>
      <c r="AX69" s="1580"/>
      <c r="AY69" s="1205"/>
      <c r="AZ69" s="1206"/>
      <c r="BA69" s="1206"/>
      <c r="BB69" s="1207"/>
      <c r="BC69" s="1583"/>
      <c r="BD69" s="1559"/>
      <c r="BE69" s="1577"/>
      <c r="BF69" s="1580"/>
      <c r="BG69" s="1205"/>
      <c r="BH69" s="1206"/>
      <c r="BI69" s="1206"/>
      <c r="BJ69" s="1207"/>
      <c r="BK69" s="1583"/>
      <c r="BL69" s="1559"/>
      <c r="BM69" s="1577"/>
      <c r="BN69" s="1580"/>
      <c r="BO69" s="1205"/>
      <c r="BP69" s="1206"/>
      <c r="BQ69" s="1206"/>
      <c r="BR69" s="1207"/>
      <c r="BS69" s="1583"/>
      <c r="BT69" s="1559"/>
      <c r="BU69" s="1577"/>
      <c r="BV69" s="1580"/>
      <c r="BW69" s="1205"/>
      <c r="BX69" s="1206">
        <v>1173000</v>
      </c>
      <c r="BY69" s="1206">
        <v>11165.94</v>
      </c>
      <c r="BZ69" s="1207">
        <f>BY69*100/BX69</f>
        <v>0.9519130434782609</v>
      </c>
      <c r="CA69" s="1583"/>
      <c r="CB69" s="1559"/>
      <c r="CC69" s="1577"/>
      <c r="CD69" s="1580"/>
      <c r="CE69" s="1205" t="s">
        <v>153</v>
      </c>
      <c r="CF69" s="1206">
        <v>1173000</v>
      </c>
      <c r="CG69" s="1206">
        <v>11165.94</v>
      </c>
      <c r="CH69" s="1207">
        <f>CG69*100/CF69</f>
        <v>0.9519130434782609</v>
      </c>
      <c r="CI69" s="1583"/>
      <c r="CJ69" s="1559"/>
      <c r="CK69" s="1577"/>
      <c r="CL69" s="1580"/>
      <c r="CM69" s="1205" t="s">
        <v>153</v>
      </c>
      <c r="CN69" s="1206">
        <v>1173000</v>
      </c>
      <c r="CO69" s="1206">
        <v>11165.94</v>
      </c>
      <c r="CP69" s="1207">
        <f>CO69*100/CN69</f>
        <v>0.9519130434782609</v>
      </c>
      <c r="CQ69" s="1583"/>
      <c r="CR69" s="1559"/>
      <c r="CS69" s="1577"/>
      <c r="CT69" s="1580"/>
      <c r="CU69" s="1205" t="s">
        <v>153</v>
      </c>
      <c r="CV69" s="1206">
        <v>1173000</v>
      </c>
      <c r="CW69" s="1206">
        <v>11165.94</v>
      </c>
      <c r="CX69" s="1207">
        <f>CW69*100/CV69</f>
        <v>0.9519130434782609</v>
      </c>
      <c r="CY69" s="1583"/>
      <c r="CZ69" s="1559"/>
      <c r="DA69" s="1577"/>
      <c r="DB69" s="1580"/>
      <c r="DC69" s="1205" t="s">
        <v>153</v>
      </c>
      <c r="DD69" s="1206">
        <v>1173000</v>
      </c>
      <c r="DE69" s="1206">
        <v>11165.94</v>
      </c>
      <c r="DF69" s="1207">
        <f>DE69*100/DD69</f>
        <v>0.9519130434782609</v>
      </c>
      <c r="DG69" s="1583"/>
      <c r="DH69" s="1559"/>
      <c r="DI69" s="1577"/>
      <c r="DJ69" s="1580"/>
      <c r="DK69" s="1205" t="s">
        <v>153</v>
      </c>
      <c r="DL69" s="1206">
        <v>1173000</v>
      </c>
      <c r="DM69" s="1206">
        <v>11165.94</v>
      </c>
      <c r="DN69" s="1207">
        <f>DM69*100/DL69</f>
        <v>0.9519130434782609</v>
      </c>
      <c r="DO69" s="1583"/>
      <c r="DP69" s="1559"/>
      <c r="DQ69" s="1577"/>
      <c r="DR69" s="1580"/>
      <c r="DS69" s="1205" t="s">
        <v>153</v>
      </c>
      <c r="DT69" s="1206">
        <v>1173000</v>
      </c>
      <c r="DU69" s="1206">
        <v>11165.94</v>
      </c>
      <c r="DV69" s="1207">
        <f>DU69*100/DT69</f>
        <v>0.9519130434782609</v>
      </c>
      <c r="DW69" s="1583"/>
      <c r="DX69" s="1559"/>
      <c r="DY69" s="1577"/>
      <c r="DZ69" s="1580"/>
      <c r="EA69" s="1205" t="s">
        <v>153</v>
      </c>
      <c r="EB69" s="1206">
        <v>1173000</v>
      </c>
      <c r="EC69" s="1206">
        <v>11165.94</v>
      </c>
      <c r="ED69" s="1207">
        <f>EC69*100/EB69</f>
        <v>0.9519130434782609</v>
      </c>
      <c r="EE69" s="1583"/>
      <c r="EF69" s="1559"/>
      <c r="EG69" s="1577"/>
      <c r="EH69" s="1580"/>
      <c r="EI69" s="1205" t="s">
        <v>153</v>
      </c>
      <c r="EJ69" s="1206">
        <v>1173000</v>
      </c>
      <c r="EK69" s="1206">
        <v>11165.94</v>
      </c>
      <c r="EL69" s="1207">
        <f>EK69*100/EJ69</f>
        <v>0.9519130434782609</v>
      </c>
      <c r="EM69" s="1583"/>
      <c r="EN69" s="1559"/>
      <c r="EO69" s="1577"/>
      <c r="EP69" s="1580"/>
      <c r="EQ69" s="1205" t="s">
        <v>153</v>
      </c>
      <c r="ER69" s="1206">
        <v>1173000</v>
      </c>
      <c r="ES69" s="1206">
        <v>11165.94</v>
      </c>
      <c r="ET69" s="1207">
        <f>ES69*100/ER69</f>
        <v>0.9519130434782609</v>
      </c>
      <c r="EU69" s="1583"/>
      <c r="EV69" s="1559"/>
      <c r="EW69" s="1577"/>
      <c r="EX69" s="1580"/>
      <c r="EY69" s="1205" t="s">
        <v>153</v>
      </c>
      <c r="EZ69" s="1206">
        <v>1173000</v>
      </c>
      <c r="FA69" s="1206">
        <v>11165.94</v>
      </c>
      <c r="FB69" s="1207">
        <f>FA69*100/EZ69</f>
        <v>0.9519130434782609</v>
      </c>
      <c r="FC69" s="1583"/>
      <c r="FD69" s="1559"/>
      <c r="FE69" s="1577"/>
      <c r="FF69" s="1580"/>
      <c r="FG69" s="1205" t="s">
        <v>153</v>
      </c>
      <c r="FH69" s="1206">
        <v>1173000</v>
      </c>
      <c r="FI69" s="1206">
        <v>11165.94</v>
      </c>
      <c r="FJ69" s="1207">
        <f>FI69*100/FH69</f>
        <v>0.9519130434782609</v>
      </c>
      <c r="FK69" s="1583"/>
      <c r="FL69" s="1559"/>
      <c r="FM69" s="1577"/>
      <c r="FN69" s="1580"/>
      <c r="FO69" s="1205" t="s">
        <v>153</v>
      </c>
      <c r="FP69" s="1206">
        <v>1173000</v>
      </c>
      <c r="FQ69" s="1206">
        <v>11165.94</v>
      </c>
      <c r="FR69" s="1207">
        <f>FQ69*100/FP69</f>
        <v>0.9519130434782609</v>
      </c>
      <c r="FS69" s="1583"/>
      <c r="FT69" s="1559"/>
      <c r="FU69" s="1577"/>
      <c r="FV69" s="1580"/>
      <c r="FW69" s="1205" t="s">
        <v>153</v>
      </c>
      <c r="FX69" s="1206">
        <v>1173000</v>
      </c>
      <c r="FY69" s="1206">
        <v>11165.94</v>
      </c>
      <c r="FZ69" s="1207">
        <f>FY69*100/FX69</f>
        <v>0.9519130434782609</v>
      </c>
      <c r="GA69" s="1583"/>
      <c r="GB69" s="1559"/>
      <c r="GC69" s="1577"/>
      <c r="GD69" s="1580"/>
      <c r="GE69" s="1205" t="s">
        <v>153</v>
      </c>
      <c r="GF69" s="1206">
        <v>1173000</v>
      </c>
      <c r="GG69" s="1206">
        <v>11165.94</v>
      </c>
      <c r="GH69" s="1207">
        <f>GG69*100/GF69</f>
        <v>0.9519130434782609</v>
      </c>
      <c r="GI69" s="1583"/>
      <c r="GJ69" s="1559"/>
      <c r="GK69" s="1577"/>
      <c r="GL69" s="1580"/>
      <c r="GM69" s="1205" t="s">
        <v>153</v>
      </c>
      <c r="GN69" s="1206">
        <v>1173000</v>
      </c>
      <c r="GO69" s="1206">
        <v>11165.94</v>
      </c>
      <c r="GP69" s="1207">
        <f>GO69*100/GN69</f>
        <v>0.9519130434782609</v>
      </c>
      <c r="GQ69" s="1583"/>
      <c r="GR69" s="1559"/>
      <c r="GS69" s="1577"/>
      <c r="GT69" s="1580"/>
      <c r="GU69" s="1205" t="s">
        <v>153</v>
      </c>
      <c r="GV69" s="1206">
        <v>1173000</v>
      </c>
      <c r="GW69" s="1206">
        <v>11165.94</v>
      </c>
      <c r="GX69" s="1207">
        <f>GW69*100/GV69</f>
        <v>0.9519130434782609</v>
      </c>
      <c r="GY69" s="1583"/>
      <c r="GZ69" s="1559"/>
      <c r="HA69" s="1577"/>
      <c r="HB69" s="1580"/>
      <c r="HC69" s="1205" t="s">
        <v>153</v>
      </c>
      <c r="HD69" s="1206">
        <v>1173000</v>
      </c>
      <c r="HE69" s="1206">
        <v>11165.94</v>
      </c>
      <c r="HF69" s="1207">
        <f>HE69*100/HD69</f>
        <v>0.9519130434782609</v>
      </c>
      <c r="HG69" s="1583"/>
      <c r="HH69" s="1559"/>
      <c r="HI69" s="1577"/>
      <c r="HJ69" s="1580"/>
      <c r="HK69" s="1205" t="s">
        <v>153</v>
      </c>
      <c r="HL69" s="1206">
        <v>1173000</v>
      </c>
      <c r="HM69" s="1206">
        <v>11165.94</v>
      </c>
      <c r="HN69" s="1207">
        <f>HM69*100/HL69</f>
        <v>0.9519130434782609</v>
      </c>
      <c r="HO69" s="1583"/>
      <c r="HP69" s="1559"/>
      <c r="HQ69" s="1577"/>
      <c r="HR69" s="1580"/>
      <c r="HS69" s="1205" t="s">
        <v>153</v>
      </c>
      <c r="HT69" s="1206">
        <v>1173000</v>
      </c>
      <c r="HU69" s="1206">
        <v>11165.94</v>
      </c>
      <c r="HV69" s="1207">
        <f>HU69*100/HT69</f>
        <v>0.9519130434782609</v>
      </c>
      <c r="HW69" s="1583"/>
      <c r="HX69" s="1559"/>
      <c r="HY69" s="1577"/>
      <c r="HZ69" s="1580"/>
      <c r="IA69" s="1205" t="s">
        <v>153</v>
      </c>
      <c r="IB69" s="1206">
        <v>1173000</v>
      </c>
      <c r="IC69" s="1206">
        <v>11165.94</v>
      </c>
      <c r="ID69" s="1207">
        <f>IC69*100/IB69</f>
        <v>0.9519130434782609</v>
      </c>
      <c r="IE69" s="1583"/>
      <c r="IF69" s="1559"/>
      <c r="IG69" s="1577"/>
      <c r="IH69" s="1580"/>
      <c r="II69" s="1205" t="s">
        <v>153</v>
      </c>
      <c r="IJ69" s="1206">
        <v>1173000</v>
      </c>
      <c r="IK69" s="1206">
        <v>11165.94</v>
      </c>
      <c r="IL69" s="1207">
        <f>IK69*100/IJ69</f>
        <v>0.9519130434782609</v>
      </c>
      <c r="IM69" s="1583"/>
      <c r="IN69" s="1559"/>
      <c r="IO69" s="1577"/>
      <c r="IP69" s="1580"/>
      <c r="IQ69" s="1205" t="s">
        <v>153</v>
      </c>
      <c r="IR69" s="1206">
        <v>1173000</v>
      </c>
      <c r="IS69" s="1206">
        <v>11165.94</v>
      </c>
      <c r="IT69" s="1207">
        <f>IS69*100/IR69</f>
        <v>0.9519130434782609</v>
      </c>
      <c r="IU69" s="1583"/>
      <c r="IV69" s="1559"/>
    </row>
    <row r="70" spans="1:256" ht="15.75" customHeight="1">
      <c r="A70" s="1560"/>
      <c r="B70" s="1558"/>
      <c r="C70" s="1238" t="s">
        <v>154</v>
      </c>
      <c r="D70" s="1236">
        <v>320000</v>
      </c>
      <c r="E70" s="1236">
        <v>0</v>
      </c>
      <c r="F70" s="1237">
        <f>E70*100/D70</f>
        <v>0</v>
      </c>
      <c r="G70" s="1559"/>
      <c r="H70" s="1559"/>
      <c r="I70" s="1572"/>
      <c r="J70" s="1573"/>
      <c r="K70" s="1228"/>
      <c r="L70" s="1226"/>
      <c r="M70" s="1226"/>
      <c r="N70" s="1227"/>
      <c r="O70" s="1574"/>
      <c r="P70" s="1575"/>
      <c r="Q70" s="1578"/>
      <c r="R70" s="1581"/>
      <c r="S70" s="1208"/>
      <c r="T70" s="1209"/>
      <c r="U70" s="1209"/>
      <c r="V70" s="1210"/>
      <c r="W70" s="1584"/>
      <c r="X70" s="1559"/>
      <c r="Y70" s="1578"/>
      <c r="Z70" s="1581"/>
      <c r="AA70" s="1208"/>
      <c r="AB70" s="1209"/>
      <c r="AC70" s="1209"/>
      <c r="AD70" s="1210"/>
      <c r="AE70" s="1584"/>
      <c r="AF70" s="1559"/>
      <c r="AG70" s="1578"/>
      <c r="AH70" s="1581"/>
      <c r="AI70" s="1208"/>
      <c r="AJ70" s="1209"/>
      <c r="AK70" s="1209"/>
      <c r="AL70" s="1210"/>
      <c r="AM70" s="1584"/>
      <c r="AN70" s="1559"/>
      <c r="AO70" s="1578"/>
      <c r="AP70" s="1581"/>
      <c r="AQ70" s="1208"/>
      <c r="AR70" s="1209"/>
      <c r="AS70" s="1209"/>
      <c r="AT70" s="1210"/>
      <c r="AU70" s="1584"/>
      <c r="AV70" s="1559"/>
      <c r="AW70" s="1578"/>
      <c r="AX70" s="1581"/>
      <c r="AY70" s="1208"/>
      <c r="AZ70" s="1209"/>
      <c r="BA70" s="1209"/>
      <c r="BB70" s="1210"/>
      <c r="BC70" s="1584"/>
      <c r="BD70" s="1559"/>
      <c r="BE70" s="1578"/>
      <c r="BF70" s="1581"/>
      <c r="BG70" s="1208"/>
      <c r="BH70" s="1209"/>
      <c r="BI70" s="1209"/>
      <c r="BJ70" s="1210"/>
      <c r="BK70" s="1584"/>
      <c r="BL70" s="1559"/>
      <c r="BM70" s="1578"/>
      <c r="BN70" s="1581"/>
      <c r="BO70" s="1208"/>
      <c r="BP70" s="1209"/>
      <c r="BQ70" s="1209"/>
      <c r="BR70" s="1210"/>
      <c r="BS70" s="1584"/>
      <c r="BT70" s="1559"/>
      <c r="BU70" s="1578"/>
      <c r="BV70" s="1581"/>
      <c r="BW70" s="1208"/>
      <c r="BX70" s="1209">
        <v>207000</v>
      </c>
      <c r="BY70" s="1209">
        <v>1970.46</v>
      </c>
      <c r="BZ70" s="1210">
        <f>BY70*100/BX70</f>
        <v>0.9519130434782609</v>
      </c>
      <c r="CA70" s="1584"/>
      <c r="CB70" s="1559"/>
      <c r="CC70" s="1578"/>
      <c r="CD70" s="1581"/>
      <c r="CE70" s="1208" t="s">
        <v>154</v>
      </c>
      <c r="CF70" s="1209">
        <v>207000</v>
      </c>
      <c r="CG70" s="1209">
        <v>1970.46</v>
      </c>
      <c r="CH70" s="1210">
        <f>CG70*100/CF70</f>
        <v>0.9519130434782609</v>
      </c>
      <c r="CI70" s="1584"/>
      <c r="CJ70" s="1559"/>
      <c r="CK70" s="1578"/>
      <c r="CL70" s="1581"/>
      <c r="CM70" s="1208" t="s">
        <v>154</v>
      </c>
      <c r="CN70" s="1209">
        <v>207000</v>
      </c>
      <c r="CO70" s="1209">
        <v>1970.46</v>
      </c>
      <c r="CP70" s="1210">
        <f>CO70*100/CN70</f>
        <v>0.9519130434782609</v>
      </c>
      <c r="CQ70" s="1584"/>
      <c r="CR70" s="1559"/>
      <c r="CS70" s="1578"/>
      <c r="CT70" s="1581"/>
      <c r="CU70" s="1208" t="s">
        <v>154</v>
      </c>
      <c r="CV70" s="1209">
        <v>207000</v>
      </c>
      <c r="CW70" s="1209">
        <v>1970.46</v>
      </c>
      <c r="CX70" s="1210">
        <f>CW70*100/CV70</f>
        <v>0.9519130434782609</v>
      </c>
      <c r="CY70" s="1584"/>
      <c r="CZ70" s="1559"/>
      <c r="DA70" s="1578"/>
      <c r="DB70" s="1581"/>
      <c r="DC70" s="1208" t="s">
        <v>154</v>
      </c>
      <c r="DD70" s="1209">
        <v>207000</v>
      </c>
      <c r="DE70" s="1209">
        <v>1970.46</v>
      </c>
      <c r="DF70" s="1210">
        <f>DE70*100/DD70</f>
        <v>0.9519130434782609</v>
      </c>
      <c r="DG70" s="1584"/>
      <c r="DH70" s="1559"/>
      <c r="DI70" s="1578"/>
      <c r="DJ70" s="1581"/>
      <c r="DK70" s="1208" t="s">
        <v>154</v>
      </c>
      <c r="DL70" s="1209">
        <v>207000</v>
      </c>
      <c r="DM70" s="1209">
        <v>1970.46</v>
      </c>
      <c r="DN70" s="1210">
        <f>DM70*100/DL70</f>
        <v>0.9519130434782609</v>
      </c>
      <c r="DO70" s="1584"/>
      <c r="DP70" s="1559"/>
      <c r="DQ70" s="1578"/>
      <c r="DR70" s="1581"/>
      <c r="DS70" s="1208" t="s">
        <v>154</v>
      </c>
      <c r="DT70" s="1209">
        <v>207000</v>
      </c>
      <c r="DU70" s="1209">
        <v>1970.46</v>
      </c>
      <c r="DV70" s="1210">
        <f>DU70*100/DT70</f>
        <v>0.9519130434782609</v>
      </c>
      <c r="DW70" s="1584"/>
      <c r="DX70" s="1559"/>
      <c r="DY70" s="1578"/>
      <c r="DZ70" s="1581"/>
      <c r="EA70" s="1208" t="s">
        <v>154</v>
      </c>
      <c r="EB70" s="1209">
        <v>207000</v>
      </c>
      <c r="EC70" s="1209">
        <v>1970.46</v>
      </c>
      <c r="ED70" s="1210">
        <f>EC70*100/EB70</f>
        <v>0.9519130434782609</v>
      </c>
      <c r="EE70" s="1584"/>
      <c r="EF70" s="1559"/>
      <c r="EG70" s="1578"/>
      <c r="EH70" s="1581"/>
      <c r="EI70" s="1208" t="s">
        <v>154</v>
      </c>
      <c r="EJ70" s="1209">
        <v>207000</v>
      </c>
      <c r="EK70" s="1209">
        <v>1970.46</v>
      </c>
      <c r="EL70" s="1210">
        <f>EK70*100/EJ70</f>
        <v>0.9519130434782609</v>
      </c>
      <c r="EM70" s="1584"/>
      <c r="EN70" s="1559"/>
      <c r="EO70" s="1578"/>
      <c r="EP70" s="1581"/>
      <c r="EQ70" s="1208" t="s">
        <v>154</v>
      </c>
      <c r="ER70" s="1209">
        <v>207000</v>
      </c>
      <c r="ES70" s="1209">
        <v>1970.46</v>
      </c>
      <c r="ET70" s="1210">
        <f>ES70*100/ER70</f>
        <v>0.9519130434782609</v>
      </c>
      <c r="EU70" s="1584"/>
      <c r="EV70" s="1559"/>
      <c r="EW70" s="1578"/>
      <c r="EX70" s="1581"/>
      <c r="EY70" s="1208" t="s">
        <v>154</v>
      </c>
      <c r="EZ70" s="1209">
        <v>207000</v>
      </c>
      <c r="FA70" s="1209">
        <v>1970.46</v>
      </c>
      <c r="FB70" s="1210">
        <f>FA70*100/EZ70</f>
        <v>0.9519130434782609</v>
      </c>
      <c r="FC70" s="1584"/>
      <c r="FD70" s="1559"/>
      <c r="FE70" s="1578"/>
      <c r="FF70" s="1581"/>
      <c r="FG70" s="1208" t="s">
        <v>154</v>
      </c>
      <c r="FH70" s="1209">
        <v>207000</v>
      </c>
      <c r="FI70" s="1209">
        <v>1970.46</v>
      </c>
      <c r="FJ70" s="1210">
        <f>FI70*100/FH70</f>
        <v>0.9519130434782609</v>
      </c>
      <c r="FK70" s="1584"/>
      <c r="FL70" s="1559"/>
      <c r="FM70" s="1578"/>
      <c r="FN70" s="1581"/>
      <c r="FO70" s="1208" t="s">
        <v>154</v>
      </c>
      <c r="FP70" s="1209">
        <v>207000</v>
      </c>
      <c r="FQ70" s="1209">
        <v>1970.46</v>
      </c>
      <c r="FR70" s="1210">
        <f>FQ70*100/FP70</f>
        <v>0.9519130434782609</v>
      </c>
      <c r="FS70" s="1584"/>
      <c r="FT70" s="1559"/>
      <c r="FU70" s="1578"/>
      <c r="FV70" s="1581"/>
      <c r="FW70" s="1208" t="s">
        <v>154</v>
      </c>
      <c r="FX70" s="1209">
        <v>207000</v>
      </c>
      <c r="FY70" s="1209">
        <v>1970.46</v>
      </c>
      <c r="FZ70" s="1210">
        <f>FY70*100/FX70</f>
        <v>0.9519130434782609</v>
      </c>
      <c r="GA70" s="1584"/>
      <c r="GB70" s="1559"/>
      <c r="GC70" s="1578"/>
      <c r="GD70" s="1581"/>
      <c r="GE70" s="1208" t="s">
        <v>154</v>
      </c>
      <c r="GF70" s="1209">
        <v>207000</v>
      </c>
      <c r="GG70" s="1209">
        <v>1970.46</v>
      </c>
      <c r="GH70" s="1210">
        <f>GG70*100/GF70</f>
        <v>0.9519130434782609</v>
      </c>
      <c r="GI70" s="1584"/>
      <c r="GJ70" s="1559"/>
      <c r="GK70" s="1578"/>
      <c r="GL70" s="1581"/>
      <c r="GM70" s="1208" t="s">
        <v>154</v>
      </c>
      <c r="GN70" s="1209">
        <v>207000</v>
      </c>
      <c r="GO70" s="1209">
        <v>1970.46</v>
      </c>
      <c r="GP70" s="1210">
        <f>GO70*100/GN70</f>
        <v>0.9519130434782609</v>
      </c>
      <c r="GQ70" s="1584"/>
      <c r="GR70" s="1559"/>
      <c r="GS70" s="1578"/>
      <c r="GT70" s="1581"/>
      <c r="GU70" s="1208" t="s">
        <v>154</v>
      </c>
      <c r="GV70" s="1209">
        <v>207000</v>
      </c>
      <c r="GW70" s="1209">
        <v>1970.46</v>
      </c>
      <c r="GX70" s="1210">
        <f>GW70*100/GV70</f>
        <v>0.9519130434782609</v>
      </c>
      <c r="GY70" s="1584"/>
      <c r="GZ70" s="1559"/>
      <c r="HA70" s="1578"/>
      <c r="HB70" s="1581"/>
      <c r="HC70" s="1208" t="s">
        <v>154</v>
      </c>
      <c r="HD70" s="1209">
        <v>207000</v>
      </c>
      <c r="HE70" s="1209">
        <v>1970.46</v>
      </c>
      <c r="HF70" s="1210">
        <f>HE70*100/HD70</f>
        <v>0.9519130434782609</v>
      </c>
      <c r="HG70" s="1584"/>
      <c r="HH70" s="1559"/>
      <c r="HI70" s="1578"/>
      <c r="HJ70" s="1581"/>
      <c r="HK70" s="1208" t="s">
        <v>154</v>
      </c>
      <c r="HL70" s="1209">
        <v>207000</v>
      </c>
      <c r="HM70" s="1209">
        <v>1970.46</v>
      </c>
      <c r="HN70" s="1210">
        <f>HM70*100/HL70</f>
        <v>0.9519130434782609</v>
      </c>
      <c r="HO70" s="1584"/>
      <c r="HP70" s="1559"/>
      <c r="HQ70" s="1578"/>
      <c r="HR70" s="1581"/>
      <c r="HS70" s="1208" t="s">
        <v>154</v>
      </c>
      <c r="HT70" s="1209">
        <v>207000</v>
      </c>
      <c r="HU70" s="1209">
        <v>1970.46</v>
      </c>
      <c r="HV70" s="1210">
        <f>HU70*100/HT70</f>
        <v>0.9519130434782609</v>
      </c>
      <c r="HW70" s="1584"/>
      <c r="HX70" s="1559"/>
      <c r="HY70" s="1578"/>
      <c r="HZ70" s="1581"/>
      <c r="IA70" s="1208" t="s">
        <v>154</v>
      </c>
      <c r="IB70" s="1209">
        <v>207000</v>
      </c>
      <c r="IC70" s="1209">
        <v>1970.46</v>
      </c>
      <c r="ID70" s="1210">
        <f>IC70*100/IB70</f>
        <v>0.9519130434782609</v>
      </c>
      <c r="IE70" s="1584"/>
      <c r="IF70" s="1559"/>
      <c r="IG70" s="1578"/>
      <c r="IH70" s="1581"/>
      <c r="II70" s="1208" t="s">
        <v>154</v>
      </c>
      <c r="IJ70" s="1209">
        <v>207000</v>
      </c>
      <c r="IK70" s="1209">
        <v>1970.46</v>
      </c>
      <c r="IL70" s="1210">
        <f>IK70*100/IJ70</f>
        <v>0.9519130434782609</v>
      </c>
      <c r="IM70" s="1584"/>
      <c r="IN70" s="1559"/>
      <c r="IO70" s="1578"/>
      <c r="IP70" s="1581"/>
      <c r="IQ70" s="1208" t="s">
        <v>154</v>
      </c>
      <c r="IR70" s="1209">
        <v>207000</v>
      </c>
      <c r="IS70" s="1209">
        <v>1970.46</v>
      </c>
      <c r="IT70" s="1210">
        <f>IS70*100/IR70</f>
        <v>0.9519130434782609</v>
      </c>
      <c r="IU70" s="1584"/>
      <c r="IV70" s="1559"/>
    </row>
    <row r="71" spans="1:15" s="1216" customFormat="1" ht="19.5" customHeight="1">
      <c r="A71" s="1561" t="s">
        <v>1368</v>
      </c>
      <c r="B71" s="1561"/>
      <c r="C71" s="1561"/>
      <c r="D71" s="1214">
        <f>SUM(D8,D11,D14,D17,D20,D23,D27,D30,D33,D36,D39,D42,D45,D48,D51,D54,D57,D60,D63,D66,D69)</f>
        <v>22328905</v>
      </c>
      <c r="E71" s="1214">
        <f>SUM(E8,E11,E14,E17,E20,E23,E27,E30,E33,E36,E39,E42,E45,E48,E51,E54,E57,E60,E63,E66,E69)</f>
        <v>143019.8</v>
      </c>
      <c r="F71" s="1215">
        <f t="shared" si="5"/>
        <v>0.6405141676226397</v>
      </c>
      <c r="G71" s="1240" t="s">
        <v>156</v>
      </c>
      <c r="H71" s="1240" t="s">
        <v>156</v>
      </c>
      <c r="I71" s="1229"/>
      <c r="J71" s="1229"/>
      <c r="K71" s="1230"/>
      <c r="L71" s="1230"/>
      <c r="M71" s="1230"/>
      <c r="N71" s="1230"/>
      <c r="O71" s="1230"/>
    </row>
    <row r="72" spans="1:15" s="1216" customFormat="1" ht="19.5" customHeight="1">
      <c r="A72" s="1561" t="s">
        <v>1369</v>
      </c>
      <c r="B72" s="1561"/>
      <c r="C72" s="1561"/>
      <c r="D72" s="1214">
        <f>SUM(D9,D12,D15,D18,D21,D24,D28,D31,D34,D37,D40,D43,D46,D49,D52,D55,D58,D61,D64,D67,D70)</f>
        <v>5650724</v>
      </c>
      <c r="E72" s="1214">
        <f>SUM(E9,E12,E15,E18,E21,E24,E28,E31,E34,E37,E40,E43,E46,E49,E52,E55,E58,E61,E64,E67,E70)</f>
        <v>38388.060000000005</v>
      </c>
      <c r="F72" s="1215">
        <f t="shared" si="5"/>
        <v>0.679347637577061</v>
      </c>
      <c r="G72" s="1240" t="s">
        <v>156</v>
      </c>
      <c r="H72" s="1240" t="s">
        <v>156</v>
      </c>
      <c r="I72" s="1229"/>
      <c r="J72" s="1229"/>
      <c r="K72" s="1230"/>
      <c r="L72" s="1230"/>
      <c r="M72" s="1230"/>
      <c r="N72" s="1230"/>
      <c r="O72" s="1230"/>
    </row>
    <row r="73" spans="1:15" s="1216" customFormat="1" ht="19.5" customHeight="1">
      <c r="A73" s="1561" t="s">
        <v>572</v>
      </c>
      <c r="B73" s="1561"/>
      <c r="C73" s="1561"/>
      <c r="D73" s="1214">
        <f>SUM(D71,D72)</f>
        <v>27979629</v>
      </c>
      <c r="E73" s="1214">
        <f>SUM(E71,E72)</f>
        <v>181407.86</v>
      </c>
      <c r="F73" s="1215">
        <f t="shared" si="5"/>
        <v>0.6483569170985076</v>
      </c>
      <c r="G73" s="1240" t="s">
        <v>156</v>
      </c>
      <c r="H73" s="1240" t="s">
        <v>156</v>
      </c>
      <c r="I73" s="1229"/>
      <c r="J73" s="1229"/>
      <c r="K73" s="1230"/>
      <c r="L73" s="1230"/>
      <c r="M73" s="1230"/>
      <c r="N73" s="1230"/>
      <c r="O73" s="1230"/>
    </row>
    <row r="74" spans="9:10" ht="12" customHeight="1">
      <c r="I74" s="1368"/>
      <c r="J74" s="1368"/>
    </row>
    <row r="75" spans="9:10" ht="12" customHeight="1">
      <c r="I75" s="1368"/>
      <c r="J75" s="1368"/>
    </row>
    <row r="76" spans="4:5" ht="12" customHeight="1" hidden="1">
      <c r="D76" s="1369">
        <f>SUM(D71:D72)</f>
        <v>27979629</v>
      </c>
      <c r="E76" s="1369">
        <f>SUM(E71:E72)</f>
        <v>181407.86</v>
      </c>
    </row>
    <row r="77" ht="11.25" customHeight="1" hidden="1"/>
    <row r="78" spans="3:5" ht="11.25" customHeight="1" hidden="1">
      <c r="C78" s="1370" t="s">
        <v>702</v>
      </c>
      <c r="D78" s="1369">
        <v>11223505</v>
      </c>
      <c r="E78" s="1369">
        <v>3242304.35</v>
      </c>
    </row>
    <row r="79" spans="3:5" ht="11.25" customHeight="1" hidden="1">
      <c r="C79" s="1370" t="s">
        <v>397</v>
      </c>
      <c r="D79" s="1369">
        <v>1363902</v>
      </c>
      <c r="E79" s="1369">
        <v>184761.13</v>
      </c>
    </row>
    <row r="80" ht="11.25" customHeight="1" hidden="1"/>
    <row r="81" spans="3:5" ht="11.25" customHeight="1" hidden="1">
      <c r="C81" s="1370" t="s">
        <v>398</v>
      </c>
      <c r="D81" s="1369">
        <f>D71-D78</f>
        <v>11105400</v>
      </c>
      <c r="E81" s="1369">
        <f>E71-E78</f>
        <v>-3099284.5500000003</v>
      </c>
    </row>
    <row r="82" spans="3:5" ht="11.25" customHeight="1" hidden="1">
      <c r="C82" s="1370" t="s">
        <v>399</v>
      </c>
      <c r="D82" s="1369">
        <f>D72-D79</f>
        <v>4286822</v>
      </c>
      <c r="E82" s="1369">
        <f>E72-E79</f>
        <v>-146373.07</v>
      </c>
    </row>
    <row r="83" ht="11.25" customHeight="1" hidden="1"/>
  </sheetData>
  <sheetProtection password="CF53" sheet="1" formatCells="0" formatColumns="0" formatRows="0" insertColumns="0" insertRows="0" insertHyperlinks="0" deleteColumns="0" deleteRows="0" sort="0" autoFilter="0" pivotTables="0"/>
  <mergeCells count="347">
    <mergeCell ref="IU68:IU70"/>
    <mergeCell ref="IV68:IV70"/>
    <mergeCell ref="IG68:IG70"/>
    <mergeCell ref="IH68:IH70"/>
    <mergeCell ref="IM68:IM70"/>
    <mergeCell ref="IN68:IN70"/>
    <mergeCell ref="IO68:IO70"/>
    <mergeCell ref="IP68:IP70"/>
    <mergeCell ref="HW68:HW70"/>
    <mergeCell ref="HX68:HX70"/>
    <mergeCell ref="HY68:HY70"/>
    <mergeCell ref="HZ68:HZ70"/>
    <mergeCell ref="IE68:IE70"/>
    <mergeCell ref="IF68:IF70"/>
    <mergeCell ref="HI68:HI70"/>
    <mergeCell ref="HJ68:HJ70"/>
    <mergeCell ref="HO68:HO70"/>
    <mergeCell ref="HP68:HP70"/>
    <mergeCell ref="HQ68:HQ70"/>
    <mergeCell ref="HR68:HR70"/>
    <mergeCell ref="GY68:GY70"/>
    <mergeCell ref="GZ68:GZ70"/>
    <mergeCell ref="HA68:HA70"/>
    <mergeCell ref="HB68:HB70"/>
    <mergeCell ref="HG68:HG70"/>
    <mergeCell ref="HH68:HH70"/>
    <mergeCell ref="GK68:GK70"/>
    <mergeCell ref="GL68:GL70"/>
    <mergeCell ref="GQ68:GQ70"/>
    <mergeCell ref="GR68:GR70"/>
    <mergeCell ref="GS68:GS70"/>
    <mergeCell ref="GT68:GT70"/>
    <mergeCell ref="GA68:GA70"/>
    <mergeCell ref="GB68:GB70"/>
    <mergeCell ref="GC68:GC70"/>
    <mergeCell ref="GD68:GD70"/>
    <mergeCell ref="GI68:GI70"/>
    <mergeCell ref="GJ68:GJ70"/>
    <mergeCell ref="FM68:FM70"/>
    <mergeCell ref="FN68:FN70"/>
    <mergeCell ref="FS68:FS70"/>
    <mergeCell ref="FT68:FT70"/>
    <mergeCell ref="FU68:FU70"/>
    <mergeCell ref="FV68:FV70"/>
    <mergeCell ref="FC68:FC70"/>
    <mergeCell ref="FD68:FD70"/>
    <mergeCell ref="FE68:FE70"/>
    <mergeCell ref="FF68:FF70"/>
    <mergeCell ref="FK68:FK70"/>
    <mergeCell ref="FL68:FL70"/>
    <mergeCell ref="EO68:EO70"/>
    <mergeCell ref="EP68:EP70"/>
    <mergeCell ref="EU68:EU70"/>
    <mergeCell ref="EV68:EV70"/>
    <mergeCell ref="EW68:EW70"/>
    <mergeCell ref="EX68:EX70"/>
    <mergeCell ref="EE68:EE70"/>
    <mergeCell ref="EF68:EF70"/>
    <mergeCell ref="EG68:EG70"/>
    <mergeCell ref="EH68:EH70"/>
    <mergeCell ref="EM68:EM70"/>
    <mergeCell ref="EN68:EN70"/>
    <mergeCell ref="DQ68:DQ70"/>
    <mergeCell ref="DR68:DR70"/>
    <mergeCell ref="DW68:DW70"/>
    <mergeCell ref="DX68:DX70"/>
    <mergeCell ref="DY68:DY70"/>
    <mergeCell ref="DZ68:DZ70"/>
    <mergeCell ref="DG68:DG70"/>
    <mergeCell ref="DH68:DH70"/>
    <mergeCell ref="DI68:DI70"/>
    <mergeCell ref="DJ68:DJ70"/>
    <mergeCell ref="DO68:DO70"/>
    <mergeCell ref="DP68:DP70"/>
    <mergeCell ref="CS68:CS70"/>
    <mergeCell ref="CT68:CT70"/>
    <mergeCell ref="CY68:CY70"/>
    <mergeCell ref="CZ68:CZ70"/>
    <mergeCell ref="DA68:DA70"/>
    <mergeCell ref="DB68:DB70"/>
    <mergeCell ref="CI68:CI70"/>
    <mergeCell ref="CJ68:CJ70"/>
    <mergeCell ref="CK68:CK70"/>
    <mergeCell ref="CL68:CL70"/>
    <mergeCell ref="CQ68:CQ70"/>
    <mergeCell ref="CR68:CR70"/>
    <mergeCell ref="BU68:BU70"/>
    <mergeCell ref="BV68:BV70"/>
    <mergeCell ref="CA68:CA70"/>
    <mergeCell ref="CB68:CB70"/>
    <mergeCell ref="CC68:CC70"/>
    <mergeCell ref="CD68:CD70"/>
    <mergeCell ref="BK68:BK70"/>
    <mergeCell ref="BL68:BL70"/>
    <mergeCell ref="BM68:BM70"/>
    <mergeCell ref="BN68:BN70"/>
    <mergeCell ref="BS68:BS70"/>
    <mergeCell ref="BT68:BT70"/>
    <mergeCell ref="AW68:AW70"/>
    <mergeCell ref="AX68:AX70"/>
    <mergeCell ref="BC68:BC70"/>
    <mergeCell ref="BD68:BD70"/>
    <mergeCell ref="BE68:BE70"/>
    <mergeCell ref="BF68:BF70"/>
    <mergeCell ref="AM68:AM70"/>
    <mergeCell ref="AN68:AN70"/>
    <mergeCell ref="AO68:AO70"/>
    <mergeCell ref="AP68:AP70"/>
    <mergeCell ref="AU68:AU70"/>
    <mergeCell ref="AV68:AV70"/>
    <mergeCell ref="Y68:Y70"/>
    <mergeCell ref="Z68:Z70"/>
    <mergeCell ref="AE68:AE70"/>
    <mergeCell ref="AF68:AF70"/>
    <mergeCell ref="AG68:AG70"/>
    <mergeCell ref="AH68:AH70"/>
    <mergeCell ref="O68:O70"/>
    <mergeCell ref="P68:P70"/>
    <mergeCell ref="Q68:Q70"/>
    <mergeCell ref="R68:R70"/>
    <mergeCell ref="W68:W70"/>
    <mergeCell ref="X68:X70"/>
    <mergeCell ref="IO44:IO46"/>
    <mergeCell ref="IP44:IP46"/>
    <mergeCell ref="IU44:IU46"/>
    <mergeCell ref="IV44:IV46"/>
    <mergeCell ref="A68:A70"/>
    <mergeCell ref="B68:B70"/>
    <mergeCell ref="G68:G70"/>
    <mergeCell ref="H68:H70"/>
    <mergeCell ref="I68:I70"/>
    <mergeCell ref="J68:J70"/>
    <mergeCell ref="IE44:IE46"/>
    <mergeCell ref="IF44:IF46"/>
    <mergeCell ref="IG44:IG46"/>
    <mergeCell ref="IH44:IH46"/>
    <mergeCell ref="IM44:IM46"/>
    <mergeCell ref="IN44:IN46"/>
    <mergeCell ref="HQ44:HQ46"/>
    <mergeCell ref="HR44:HR46"/>
    <mergeCell ref="HW44:HW46"/>
    <mergeCell ref="HX44:HX46"/>
    <mergeCell ref="HY44:HY46"/>
    <mergeCell ref="HZ44:HZ46"/>
    <mergeCell ref="HG44:HG46"/>
    <mergeCell ref="HH44:HH46"/>
    <mergeCell ref="HI44:HI46"/>
    <mergeCell ref="HJ44:HJ46"/>
    <mergeCell ref="HO44:HO46"/>
    <mergeCell ref="HP44:HP46"/>
    <mergeCell ref="GS44:GS46"/>
    <mergeCell ref="GT44:GT46"/>
    <mergeCell ref="GY44:GY46"/>
    <mergeCell ref="GZ44:GZ46"/>
    <mergeCell ref="HA44:HA46"/>
    <mergeCell ref="HB44:HB46"/>
    <mergeCell ref="GI44:GI46"/>
    <mergeCell ref="GJ44:GJ46"/>
    <mergeCell ref="GK44:GK46"/>
    <mergeCell ref="GL44:GL46"/>
    <mergeCell ref="GQ44:GQ46"/>
    <mergeCell ref="GR44:GR46"/>
    <mergeCell ref="FU44:FU46"/>
    <mergeCell ref="FV44:FV46"/>
    <mergeCell ref="GA44:GA46"/>
    <mergeCell ref="GB44:GB46"/>
    <mergeCell ref="GC44:GC46"/>
    <mergeCell ref="GD44:GD46"/>
    <mergeCell ref="FK44:FK46"/>
    <mergeCell ref="FL44:FL46"/>
    <mergeCell ref="FM44:FM46"/>
    <mergeCell ref="FN44:FN46"/>
    <mergeCell ref="FS44:FS46"/>
    <mergeCell ref="FT44:FT46"/>
    <mergeCell ref="EW44:EW46"/>
    <mergeCell ref="EX44:EX46"/>
    <mergeCell ref="FC44:FC46"/>
    <mergeCell ref="FD44:FD46"/>
    <mergeCell ref="FE44:FE46"/>
    <mergeCell ref="FF44:FF46"/>
    <mergeCell ref="EM44:EM46"/>
    <mergeCell ref="EN44:EN46"/>
    <mergeCell ref="EO44:EO46"/>
    <mergeCell ref="EP44:EP46"/>
    <mergeCell ref="EU44:EU46"/>
    <mergeCell ref="EV44:EV46"/>
    <mergeCell ref="DY44:DY46"/>
    <mergeCell ref="DZ44:DZ46"/>
    <mergeCell ref="EE44:EE46"/>
    <mergeCell ref="EF44:EF46"/>
    <mergeCell ref="EG44:EG46"/>
    <mergeCell ref="EH44:EH46"/>
    <mergeCell ref="DO44:DO46"/>
    <mergeCell ref="DP44:DP46"/>
    <mergeCell ref="DQ44:DQ46"/>
    <mergeCell ref="DR44:DR46"/>
    <mergeCell ref="DW44:DW46"/>
    <mergeCell ref="DX44:DX46"/>
    <mergeCell ref="DA44:DA46"/>
    <mergeCell ref="DB44:DB46"/>
    <mergeCell ref="DG44:DG46"/>
    <mergeCell ref="DH44:DH46"/>
    <mergeCell ref="DI44:DI46"/>
    <mergeCell ref="DJ44:DJ46"/>
    <mergeCell ref="CQ44:CQ46"/>
    <mergeCell ref="CR44:CR46"/>
    <mergeCell ref="CS44:CS46"/>
    <mergeCell ref="CT44:CT46"/>
    <mergeCell ref="CY44:CY46"/>
    <mergeCell ref="CZ44:CZ46"/>
    <mergeCell ref="CC44:CC46"/>
    <mergeCell ref="CD44:CD46"/>
    <mergeCell ref="CI44:CI46"/>
    <mergeCell ref="CJ44:CJ46"/>
    <mergeCell ref="CK44:CK46"/>
    <mergeCell ref="CL44:CL46"/>
    <mergeCell ref="BS44:BS46"/>
    <mergeCell ref="BT44:BT46"/>
    <mergeCell ref="BU44:BU46"/>
    <mergeCell ref="BV44:BV46"/>
    <mergeCell ref="CA44:CA46"/>
    <mergeCell ref="CB44:CB46"/>
    <mergeCell ref="BE44:BE46"/>
    <mergeCell ref="BF44:BF46"/>
    <mergeCell ref="BK44:BK46"/>
    <mergeCell ref="BL44:BL46"/>
    <mergeCell ref="BM44:BM46"/>
    <mergeCell ref="BN44:BN46"/>
    <mergeCell ref="AU44:AU46"/>
    <mergeCell ref="AV44:AV46"/>
    <mergeCell ref="AW44:AW46"/>
    <mergeCell ref="AX44:AX46"/>
    <mergeCell ref="BC44:BC46"/>
    <mergeCell ref="BD44:BD46"/>
    <mergeCell ref="AG44:AG46"/>
    <mergeCell ref="AH44:AH46"/>
    <mergeCell ref="AM44:AM46"/>
    <mergeCell ref="AN44:AN46"/>
    <mergeCell ref="AO44:AO46"/>
    <mergeCell ref="AP44:AP46"/>
    <mergeCell ref="W44:W46"/>
    <mergeCell ref="X44:X46"/>
    <mergeCell ref="Y44:Y46"/>
    <mergeCell ref="Z44:Z46"/>
    <mergeCell ref="AE44:AE46"/>
    <mergeCell ref="AF44:AF46"/>
    <mergeCell ref="I44:I46"/>
    <mergeCell ref="J44:J46"/>
    <mergeCell ref="O44:O46"/>
    <mergeCell ref="P44:P46"/>
    <mergeCell ref="Q44:Q46"/>
    <mergeCell ref="R44:R46"/>
    <mergeCell ref="B41:B43"/>
    <mergeCell ref="G41:G43"/>
    <mergeCell ref="H41:H43"/>
    <mergeCell ref="A44:A46"/>
    <mergeCell ref="B44:B46"/>
    <mergeCell ref="G44:G46"/>
    <mergeCell ref="H44:H46"/>
    <mergeCell ref="I5:J5"/>
    <mergeCell ref="G1:H1"/>
    <mergeCell ref="A2:H2"/>
    <mergeCell ref="A4:A5"/>
    <mergeCell ref="B4:B5"/>
    <mergeCell ref="C4:C5"/>
    <mergeCell ref="D4:E4"/>
    <mergeCell ref="F4:F5"/>
    <mergeCell ref="G4:G5"/>
    <mergeCell ref="H4:H5"/>
    <mergeCell ref="A6:C6"/>
    <mergeCell ref="A16:A18"/>
    <mergeCell ref="B16:B18"/>
    <mergeCell ref="G16:G18"/>
    <mergeCell ref="H16:H18"/>
    <mergeCell ref="A7:A9"/>
    <mergeCell ref="B7:B9"/>
    <mergeCell ref="G7:G9"/>
    <mergeCell ref="H7:H9"/>
    <mergeCell ref="A13:A15"/>
    <mergeCell ref="A25:C25"/>
    <mergeCell ref="A26:A28"/>
    <mergeCell ref="B26:B28"/>
    <mergeCell ref="G26:G28"/>
    <mergeCell ref="H26:H28"/>
    <mergeCell ref="A32:A34"/>
    <mergeCell ref="B32:B34"/>
    <mergeCell ref="G32:G34"/>
    <mergeCell ref="H32:H34"/>
    <mergeCell ref="A29:A31"/>
    <mergeCell ref="B29:B31"/>
    <mergeCell ref="G29:G31"/>
    <mergeCell ref="H29:H31"/>
    <mergeCell ref="A73:C73"/>
    <mergeCell ref="A72:C72"/>
    <mergeCell ref="A71:C71"/>
    <mergeCell ref="G50:G52"/>
    <mergeCell ref="H50:H52"/>
    <mergeCell ref="A35:A37"/>
    <mergeCell ref="B35:B37"/>
    <mergeCell ref="B53:B55"/>
    <mergeCell ref="G53:G55"/>
    <mergeCell ref="H53:H55"/>
    <mergeCell ref="G35:G37"/>
    <mergeCell ref="H35:H37"/>
    <mergeCell ref="A38:A40"/>
    <mergeCell ref="B38:B40"/>
    <mergeCell ref="G38:G40"/>
    <mergeCell ref="H38:H40"/>
    <mergeCell ref="A41:A43"/>
    <mergeCell ref="A65:A67"/>
    <mergeCell ref="B65:B67"/>
    <mergeCell ref="G65:G67"/>
    <mergeCell ref="H65:H67"/>
    <mergeCell ref="A56:A58"/>
    <mergeCell ref="B56:B58"/>
    <mergeCell ref="G56:G58"/>
    <mergeCell ref="H56:H58"/>
    <mergeCell ref="A10:A12"/>
    <mergeCell ref="B10:B12"/>
    <mergeCell ref="G10:G12"/>
    <mergeCell ref="H10:H12"/>
    <mergeCell ref="A19:A21"/>
    <mergeCell ref="B19:B21"/>
    <mergeCell ref="B13:B15"/>
    <mergeCell ref="G13:G15"/>
    <mergeCell ref="H13:H15"/>
    <mergeCell ref="G19:G21"/>
    <mergeCell ref="H19:H21"/>
    <mergeCell ref="A62:A64"/>
    <mergeCell ref="B62:B64"/>
    <mergeCell ref="G62:G64"/>
    <mergeCell ref="H62:H64"/>
    <mergeCell ref="A22:A24"/>
    <mergeCell ref="A59:A61"/>
    <mergeCell ref="B59:B61"/>
    <mergeCell ref="G59:G61"/>
    <mergeCell ref="H59:H61"/>
    <mergeCell ref="B22:B24"/>
    <mergeCell ref="G22:G24"/>
    <mergeCell ref="H22:H24"/>
    <mergeCell ref="A53:A55"/>
    <mergeCell ref="A47:A49"/>
    <mergeCell ref="B47:B49"/>
    <mergeCell ref="G47:G49"/>
    <mergeCell ref="H47:H49"/>
    <mergeCell ref="A50:A52"/>
    <mergeCell ref="B50:B52"/>
  </mergeCells>
  <printOptions/>
  <pageMargins left="0.7874015748031497" right="0.7874015748031497" top="0.7874015748031497" bottom="0.7874015748031497" header="0.5118110236220472" footer="0.5118110236220472"/>
  <pageSetup errors="blank" firstPageNumber="76" useFirstPageNumber="1" horizontalDpi="600" verticalDpi="600" orientation="landscape" paperSize="9" r:id="rId1"/>
  <headerFooter>
    <oddFooter>&amp;C&amp;P</oddFooter>
  </headerFooter>
  <rowBreaks count="1" manualBreakCount="1">
    <brk id="64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G68"/>
  <sheetViews>
    <sheetView view="pageBreakPreview" zoomScale="124" zoomScaleSheetLayoutView="124" zoomScalePageLayoutView="0" workbookViewId="0" topLeftCell="A1">
      <selection activeCell="H55" sqref="H55"/>
    </sheetView>
  </sheetViews>
  <sheetFormatPr defaultColWidth="9.00390625" defaultRowHeight="12.75"/>
  <cols>
    <col min="1" max="1" width="4.00390625" style="937" customWidth="1"/>
    <col min="2" max="2" width="8.625" style="958" customWidth="1"/>
    <col min="3" max="3" width="87.875" style="937" customWidth="1"/>
    <col min="4" max="4" width="13.125" style="937" customWidth="1"/>
    <col min="5" max="5" width="12.375" style="937" customWidth="1"/>
    <col min="6" max="6" width="5.75390625" style="937" customWidth="1"/>
    <col min="7" max="7" width="9.125" style="939" customWidth="1"/>
    <col min="8" max="16384" width="9.125" style="937" customWidth="1"/>
  </cols>
  <sheetData>
    <row r="1" spans="5:6" ht="12.75">
      <c r="E1" s="1591" t="s">
        <v>1153</v>
      </c>
      <c r="F1" s="1591"/>
    </row>
    <row r="2" spans="1:6" ht="23.25" customHeight="1">
      <c r="A2" s="1592"/>
      <c r="B2" s="1592"/>
      <c r="C2" s="1592"/>
      <c r="D2" s="1592"/>
      <c r="E2" s="1592"/>
      <c r="F2" s="1592"/>
    </row>
    <row r="3" spans="1:7" s="936" customFormat="1" ht="45.75" customHeight="1">
      <c r="A3" s="1592" t="s">
        <v>618</v>
      </c>
      <c r="B3" s="1592"/>
      <c r="C3" s="1592"/>
      <c r="D3" s="1592"/>
      <c r="E3" s="1592"/>
      <c r="F3" s="1592"/>
      <c r="G3" s="935"/>
    </row>
    <row r="4" spans="3:6" ht="15" customHeight="1" thickBot="1">
      <c r="C4" s="934"/>
      <c r="F4" s="938"/>
    </row>
    <row r="5" spans="1:7" s="934" customFormat="1" ht="42.75" customHeight="1">
      <c r="A5" s="972" t="s">
        <v>823</v>
      </c>
      <c r="B5" s="973" t="s">
        <v>170</v>
      </c>
      <c r="C5" s="973" t="s">
        <v>1490</v>
      </c>
      <c r="D5" s="973" t="s">
        <v>172</v>
      </c>
      <c r="E5" s="973" t="s">
        <v>173</v>
      </c>
      <c r="F5" s="974" t="s">
        <v>174</v>
      </c>
      <c r="G5" s="940"/>
    </row>
    <row r="6" spans="1:7" s="934" customFormat="1" ht="12" customHeight="1">
      <c r="A6" s="975">
        <v>1</v>
      </c>
      <c r="B6" s="976">
        <v>2</v>
      </c>
      <c r="C6" s="976">
        <v>3</v>
      </c>
      <c r="D6" s="976">
        <v>4</v>
      </c>
      <c r="E6" s="976">
        <v>5</v>
      </c>
      <c r="F6" s="977">
        <v>6</v>
      </c>
      <c r="G6" s="940"/>
    </row>
    <row r="7" spans="1:7" s="934" customFormat="1" ht="24.75" customHeight="1">
      <c r="A7" s="1588" t="s">
        <v>264</v>
      </c>
      <c r="B7" s="1589"/>
      <c r="C7" s="1590"/>
      <c r="D7" s="941">
        <f>SUM(D8:D26)</f>
        <v>49476000</v>
      </c>
      <c r="E7" s="941">
        <f>SUM(E8:E26)</f>
        <v>1558368.4800000002</v>
      </c>
      <c r="F7" s="942">
        <f>E7/D7*100</f>
        <v>3.1497463012369638</v>
      </c>
      <c r="G7" s="940"/>
    </row>
    <row r="8" spans="1:6" ht="26.25" customHeight="1">
      <c r="A8" s="963" t="s">
        <v>826</v>
      </c>
      <c r="B8" s="948" t="s">
        <v>265</v>
      </c>
      <c r="C8" s="960" t="s">
        <v>1293</v>
      </c>
      <c r="D8" s="964">
        <v>1500000</v>
      </c>
      <c r="E8" s="964">
        <v>53310.3</v>
      </c>
      <c r="F8" s="950">
        <f>E8/D8*100</f>
        <v>3.55402</v>
      </c>
    </row>
    <row r="9" spans="1:6" ht="26.25" customHeight="1">
      <c r="A9" s="963" t="s">
        <v>827</v>
      </c>
      <c r="B9" s="944" t="s">
        <v>265</v>
      </c>
      <c r="C9" s="961" t="s">
        <v>1294</v>
      </c>
      <c r="D9" s="945">
        <v>5300000</v>
      </c>
      <c r="E9" s="945">
        <v>6568.2</v>
      </c>
      <c r="F9" s="950">
        <f>E9/D9*100</f>
        <v>0.12392830188679245</v>
      </c>
    </row>
    <row r="10" spans="1:6" ht="26.25" customHeight="1">
      <c r="A10" s="963" t="s">
        <v>942</v>
      </c>
      <c r="B10" s="944" t="s">
        <v>265</v>
      </c>
      <c r="C10" s="961" t="s">
        <v>1349</v>
      </c>
      <c r="D10" s="945">
        <v>700000</v>
      </c>
      <c r="E10" s="945">
        <v>15</v>
      </c>
      <c r="F10" s="950">
        <f>E10/D10*100</f>
        <v>0.002142857142857143</v>
      </c>
    </row>
    <row r="11" spans="1:6" ht="26.25" customHeight="1">
      <c r="A11" s="963" t="s">
        <v>949</v>
      </c>
      <c r="B11" s="944" t="s">
        <v>265</v>
      </c>
      <c r="C11" s="961" t="s">
        <v>1223</v>
      </c>
      <c r="D11" s="945">
        <v>5390000</v>
      </c>
      <c r="E11" s="945">
        <v>40196.4</v>
      </c>
      <c r="F11" s="950">
        <f>E11/D11*100</f>
        <v>0.7457588126159556</v>
      </c>
    </row>
    <row r="12" spans="1:6" ht="22.5" customHeight="1">
      <c r="A12" s="943" t="s">
        <v>950</v>
      </c>
      <c r="B12" s="944" t="s">
        <v>265</v>
      </c>
      <c r="C12" s="961" t="s">
        <v>1462</v>
      </c>
      <c r="D12" s="945">
        <v>3650000</v>
      </c>
      <c r="E12" s="946">
        <v>114371.55</v>
      </c>
      <c r="F12" s="947">
        <f aca="true" t="shared" si="0" ref="F12:F68">E12/D12*100</f>
        <v>3.133467123287671</v>
      </c>
    </row>
    <row r="13" spans="1:6" ht="30" customHeight="1">
      <c r="A13" s="943" t="s">
        <v>951</v>
      </c>
      <c r="B13" s="944" t="s">
        <v>265</v>
      </c>
      <c r="C13" s="961" t="s">
        <v>1295</v>
      </c>
      <c r="D13" s="945">
        <v>1200000</v>
      </c>
      <c r="E13" s="946">
        <v>14637</v>
      </c>
      <c r="F13" s="947">
        <f t="shared" si="0"/>
        <v>1.21975</v>
      </c>
    </row>
    <row r="14" spans="1:6" ht="33" customHeight="1">
      <c r="A14" s="943" t="s">
        <v>281</v>
      </c>
      <c r="B14" s="944" t="s">
        <v>265</v>
      </c>
      <c r="C14" s="961" t="s">
        <v>1463</v>
      </c>
      <c r="D14" s="945">
        <v>2229000</v>
      </c>
      <c r="E14" s="946">
        <v>809394.48</v>
      </c>
      <c r="F14" s="947">
        <f t="shared" si="0"/>
        <v>36.312</v>
      </c>
    </row>
    <row r="15" spans="1:6" ht="30.75" customHeight="1">
      <c r="A15" s="943" t="s">
        <v>282</v>
      </c>
      <c r="B15" s="948" t="s">
        <v>265</v>
      </c>
      <c r="C15" s="960" t="s">
        <v>885</v>
      </c>
      <c r="D15" s="949">
        <v>4200000</v>
      </c>
      <c r="E15" s="949">
        <v>392381.54</v>
      </c>
      <c r="F15" s="950">
        <f t="shared" si="0"/>
        <v>9.34241761904762</v>
      </c>
    </row>
    <row r="16" spans="1:6" ht="29.25" customHeight="1">
      <c r="A16" s="943" t="s">
        <v>952</v>
      </c>
      <c r="B16" s="948" t="s">
        <v>265</v>
      </c>
      <c r="C16" s="960" t="s">
        <v>1296</v>
      </c>
      <c r="D16" s="949">
        <v>1750000</v>
      </c>
      <c r="E16" s="949">
        <v>12976.5</v>
      </c>
      <c r="F16" s="950">
        <f t="shared" si="0"/>
        <v>0.7415142857142857</v>
      </c>
    </row>
    <row r="17" spans="1:6" ht="29.25" customHeight="1">
      <c r="A17" s="943" t="s">
        <v>954</v>
      </c>
      <c r="B17" s="948" t="s">
        <v>265</v>
      </c>
      <c r="C17" s="960" t="s">
        <v>1464</v>
      </c>
      <c r="D17" s="949">
        <v>300000</v>
      </c>
      <c r="E17" s="949">
        <v>3192.6</v>
      </c>
      <c r="F17" s="950">
        <f t="shared" si="0"/>
        <v>1.0642</v>
      </c>
    </row>
    <row r="18" spans="1:6" ht="29.25" customHeight="1">
      <c r="A18" s="943" t="s">
        <v>283</v>
      </c>
      <c r="B18" s="948" t="s">
        <v>265</v>
      </c>
      <c r="C18" s="960" t="s">
        <v>1350</v>
      </c>
      <c r="D18" s="949">
        <v>140000</v>
      </c>
      <c r="E18" s="949">
        <v>0</v>
      </c>
      <c r="F18" s="950">
        <f t="shared" si="0"/>
        <v>0</v>
      </c>
    </row>
    <row r="19" spans="1:6" ht="29.25" customHeight="1">
      <c r="A19" s="943" t="s">
        <v>955</v>
      </c>
      <c r="B19" s="948" t="s">
        <v>266</v>
      </c>
      <c r="C19" s="960" t="s">
        <v>1224</v>
      </c>
      <c r="D19" s="949">
        <v>750000</v>
      </c>
      <c r="E19" s="949">
        <v>1158.6</v>
      </c>
      <c r="F19" s="950">
        <f>E19/D19*100</f>
        <v>0.15447999999999998</v>
      </c>
    </row>
    <row r="20" spans="1:6" ht="24.75" customHeight="1">
      <c r="A20" s="943" t="s">
        <v>956</v>
      </c>
      <c r="B20" s="948" t="s">
        <v>266</v>
      </c>
      <c r="C20" s="960" t="s">
        <v>1465</v>
      </c>
      <c r="D20" s="949">
        <v>1196000</v>
      </c>
      <c r="E20" s="949">
        <v>14790</v>
      </c>
      <c r="F20" s="950">
        <f t="shared" si="0"/>
        <v>1.2366220735785953</v>
      </c>
    </row>
    <row r="21" spans="1:6" ht="24.75" customHeight="1">
      <c r="A21" s="943" t="s">
        <v>284</v>
      </c>
      <c r="B21" s="948" t="s">
        <v>266</v>
      </c>
      <c r="C21" s="960" t="s">
        <v>1466</v>
      </c>
      <c r="D21" s="949">
        <v>3500000</v>
      </c>
      <c r="E21" s="949">
        <v>11070</v>
      </c>
      <c r="F21" s="950">
        <f t="shared" si="0"/>
        <v>0.3162857142857143</v>
      </c>
    </row>
    <row r="22" spans="1:6" ht="24.75" customHeight="1">
      <c r="A22" s="943" t="s">
        <v>957</v>
      </c>
      <c r="B22" s="948" t="s">
        <v>266</v>
      </c>
      <c r="C22" s="960" t="s">
        <v>1467</v>
      </c>
      <c r="D22" s="949">
        <v>1810000</v>
      </c>
      <c r="E22" s="949">
        <v>1998</v>
      </c>
      <c r="F22" s="950">
        <f t="shared" si="0"/>
        <v>0.11038674033149172</v>
      </c>
    </row>
    <row r="23" spans="1:6" ht="24.75" customHeight="1">
      <c r="A23" s="943" t="s">
        <v>958</v>
      </c>
      <c r="B23" s="948" t="s">
        <v>266</v>
      </c>
      <c r="C23" s="960" t="s">
        <v>1468</v>
      </c>
      <c r="D23" s="949">
        <v>150000</v>
      </c>
      <c r="E23" s="949">
        <v>0</v>
      </c>
      <c r="F23" s="950">
        <f t="shared" si="0"/>
        <v>0</v>
      </c>
    </row>
    <row r="24" spans="1:6" ht="27" customHeight="1">
      <c r="A24" s="943" t="s">
        <v>959</v>
      </c>
      <c r="B24" s="948" t="s">
        <v>266</v>
      </c>
      <c r="C24" s="960" t="s">
        <v>1469</v>
      </c>
      <c r="D24" s="949">
        <v>400000</v>
      </c>
      <c r="E24" s="949">
        <v>0</v>
      </c>
      <c r="F24" s="950">
        <f t="shared" si="0"/>
        <v>0</v>
      </c>
    </row>
    <row r="25" spans="1:6" ht="27" customHeight="1">
      <c r="A25" s="943" t="s">
        <v>960</v>
      </c>
      <c r="B25" s="948" t="s">
        <v>266</v>
      </c>
      <c r="C25" s="960" t="s">
        <v>1031</v>
      </c>
      <c r="D25" s="949">
        <v>14861000</v>
      </c>
      <c r="E25" s="949">
        <v>79959.01</v>
      </c>
      <c r="F25" s="950">
        <f t="shared" si="0"/>
        <v>0.5380459592221251</v>
      </c>
    </row>
    <row r="26" spans="1:6" ht="27" customHeight="1">
      <c r="A26" s="943" t="s">
        <v>966</v>
      </c>
      <c r="B26" s="948" t="s">
        <v>943</v>
      </c>
      <c r="C26" s="960" t="s">
        <v>1470</v>
      </c>
      <c r="D26" s="949">
        <v>450000</v>
      </c>
      <c r="E26" s="949">
        <v>2349.3</v>
      </c>
      <c r="F26" s="950">
        <f t="shared" si="0"/>
        <v>0.5220666666666667</v>
      </c>
    </row>
    <row r="27" spans="1:7" s="936" customFormat="1" ht="22.5" customHeight="1">
      <c r="A27" s="1593" t="s">
        <v>269</v>
      </c>
      <c r="B27" s="1594"/>
      <c r="C27" s="1595"/>
      <c r="D27" s="953">
        <f>SUM(D28:D32)</f>
        <v>1135000</v>
      </c>
      <c r="E27" s="953">
        <f>SUM(E28:E32)</f>
        <v>41184.94</v>
      </c>
      <c r="F27" s="954">
        <f t="shared" si="0"/>
        <v>3.6286290748898677</v>
      </c>
      <c r="G27" s="935"/>
    </row>
    <row r="28" spans="1:7" s="936" customFormat="1" ht="22.5" customHeight="1">
      <c r="A28" s="943" t="s">
        <v>967</v>
      </c>
      <c r="B28" s="951">
        <v>63095</v>
      </c>
      <c r="C28" s="956" t="s">
        <v>1351</v>
      </c>
      <c r="D28" s="949">
        <v>250000</v>
      </c>
      <c r="E28" s="949">
        <v>0</v>
      </c>
      <c r="F28" s="950">
        <f t="shared" si="0"/>
        <v>0</v>
      </c>
      <c r="G28" s="935"/>
    </row>
    <row r="29" spans="1:6" ht="22.5" customHeight="1">
      <c r="A29" s="943" t="s">
        <v>968</v>
      </c>
      <c r="B29" s="948" t="s">
        <v>1097</v>
      </c>
      <c r="C29" s="960" t="s">
        <v>1471</v>
      </c>
      <c r="D29" s="949">
        <v>385000</v>
      </c>
      <c r="E29" s="949">
        <v>32142.94</v>
      </c>
      <c r="F29" s="950">
        <f t="shared" si="0"/>
        <v>8.348815584415584</v>
      </c>
    </row>
    <row r="30" spans="1:6" ht="22.5" customHeight="1">
      <c r="A30" s="943" t="s">
        <v>969</v>
      </c>
      <c r="B30" s="948" t="s">
        <v>1097</v>
      </c>
      <c r="C30" s="960" t="s">
        <v>1472</v>
      </c>
      <c r="D30" s="949">
        <v>150000</v>
      </c>
      <c r="E30" s="949">
        <v>0</v>
      </c>
      <c r="F30" s="950">
        <f t="shared" si="0"/>
        <v>0</v>
      </c>
    </row>
    <row r="31" spans="1:6" ht="29.25" customHeight="1">
      <c r="A31" s="943" t="s">
        <v>788</v>
      </c>
      <c r="B31" s="948" t="s">
        <v>1097</v>
      </c>
      <c r="C31" s="960" t="s">
        <v>1297</v>
      </c>
      <c r="D31" s="949">
        <v>200000</v>
      </c>
      <c r="E31" s="949">
        <v>9042</v>
      </c>
      <c r="F31" s="950">
        <f t="shared" si="0"/>
        <v>4.521</v>
      </c>
    </row>
    <row r="32" spans="1:6" ht="24.75" customHeight="1">
      <c r="A32" s="943" t="s">
        <v>789</v>
      </c>
      <c r="B32" s="948" t="s">
        <v>1097</v>
      </c>
      <c r="C32" s="960" t="s">
        <v>1473</v>
      </c>
      <c r="D32" s="949">
        <v>150000</v>
      </c>
      <c r="E32" s="949">
        <v>0</v>
      </c>
      <c r="F32" s="950">
        <f t="shared" si="0"/>
        <v>0</v>
      </c>
    </row>
    <row r="33" spans="1:6" ht="24.75" customHeight="1">
      <c r="A33" s="1593" t="s">
        <v>216</v>
      </c>
      <c r="B33" s="1594"/>
      <c r="C33" s="1595"/>
      <c r="D33" s="953">
        <f>SUM(D34,)</f>
        <v>2120000</v>
      </c>
      <c r="E33" s="953">
        <f>SUM(E34,)</f>
        <v>78360.06</v>
      </c>
      <c r="F33" s="954">
        <f t="shared" si="0"/>
        <v>3.696229245283019</v>
      </c>
    </row>
    <row r="34" spans="1:6" ht="24.75" customHeight="1">
      <c r="A34" s="943" t="s">
        <v>790</v>
      </c>
      <c r="B34" s="948" t="s">
        <v>1102</v>
      </c>
      <c r="C34" s="960" t="s">
        <v>1474</v>
      </c>
      <c r="D34" s="949">
        <v>2120000</v>
      </c>
      <c r="E34" s="949">
        <v>78360.06</v>
      </c>
      <c r="F34" s="950"/>
    </row>
    <row r="35" spans="1:6" ht="31.5" customHeight="1">
      <c r="A35" s="1593" t="s">
        <v>220</v>
      </c>
      <c r="B35" s="1594"/>
      <c r="C35" s="1595"/>
      <c r="D35" s="953">
        <f>SUM(D36,D37)</f>
        <v>750000</v>
      </c>
      <c r="E35" s="953">
        <f>SUM(E36,E37)</f>
        <v>442.68</v>
      </c>
      <c r="F35" s="954">
        <f>E35/D35*100</f>
        <v>0.059024</v>
      </c>
    </row>
    <row r="36" spans="1:6" ht="31.5" customHeight="1">
      <c r="A36" s="943" t="s">
        <v>791</v>
      </c>
      <c r="B36" s="948" t="s">
        <v>215</v>
      </c>
      <c r="C36" s="962" t="s">
        <v>1225</v>
      </c>
      <c r="D36" s="949">
        <v>150000</v>
      </c>
      <c r="E36" s="949">
        <v>0</v>
      </c>
      <c r="F36" s="950">
        <f>E36/D36*100</f>
        <v>0</v>
      </c>
    </row>
    <row r="37" spans="1:6" ht="31.5" customHeight="1">
      <c r="A37" s="943" t="s">
        <v>869</v>
      </c>
      <c r="B37" s="948" t="s">
        <v>656</v>
      </c>
      <c r="C37" s="962" t="s">
        <v>1298</v>
      </c>
      <c r="D37" s="949">
        <v>600000</v>
      </c>
      <c r="E37" s="949">
        <v>442.68</v>
      </c>
      <c r="F37" s="950">
        <f t="shared" si="0"/>
        <v>0.07378</v>
      </c>
    </row>
    <row r="38" spans="1:6" ht="31.5" customHeight="1">
      <c r="A38" s="970"/>
      <c r="B38" s="955"/>
      <c r="C38" s="952" t="s">
        <v>645</v>
      </c>
      <c r="D38" s="953">
        <f>SUM(D39:D41)</f>
        <v>9134400</v>
      </c>
      <c r="E38" s="953">
        <f>SUM(E39:E41)</f>
        <v>1981830.78</v>
      </c>
      <c r="F38" s="954">
        <f t="shared" si="0"/>
        <v>21.696343273778247</v>
      </c>
    </row>
    <row r="39" spans="1:6" ht="31.5" customHeight="1">
      <c r="A39" s="943" t="s">
        <v>870</v>
      </c>
      <c r="B39" s="948" t="s">
        <v>3</v>
      </c>
      <c r="C39" s="960" t="s">
        <v>1299</v>
      </c>
      <c r="D39" s="949">
        <v>6746400</v>
      </c>
      <c r="E39" s="949">
        <v>1966285.78</v>
      </c>
      <c r="F39" s="950">
        <f t="shared" si="0"/>
        <v>29.14570407921262</v>
      </c>
    </row>
    <row r="40" spans="1:6" ht="31.5" customHeight="1">
      <c r="A40" s="943" t="s">
        <v>871</v>
      </c>
      <c r="B40" s="948" t="s">
        <v>3</v>
      </c>
      <c r="C40" s="960" t="s">
        <v>1475</v>
      </c>
      <c r="D40" s="949">
        <v>2148000</v>
      </c>
      <c r="E40" s="949">
        <v>15545</v>
      </c>
      <c r="F40" s="950">
        <f t="shared" si="0"/>
        <v>0.7236964618249534</v>
      </c>
    </row>
    <row r="41" spans="1:6" ht="21" customHeight="1">
      <c r="A41" s="943" t="s">
        <v>340</v>
      </c>
      <c r="B41" s="948" t="s">
        <v>3</v>
      </c>
      <c r="C41" s="960" t="s">
        <v>1352</v>
      </c>
      <c r="D41" s="949">
        <v>240000</v>
      </c>
      <c r="E41" s="949">
        <v>0</v>
      </c>
      <c r="F41" s="950">
        <f t="shared" si="0"/>
        <v>0</v>
      </c>
    </row>
    <row r="42" spans="1:6" ht="21" customHeight="1">
      <c r="A42" s="1593" t="s">
        <v>84</v>
      </c>
      <c r="B42" s="1594"/>
      <c r="C42" s="1595"/>
      <c r="D42" s="953">
        <f>SUM(D43,)</f>
        <v>287000</v>
      </c>
      <c r="E42" s="953">
        <f>SUM(E43,)</f>
        <v>0</v>
      </c>
      <c r="F42" s="954">
        <f t="shared" si="0"/>
        <v>0</v>
      </c>
    </row>
    <row r="43" spans="1:6" ht="21" customHeight="1">
      <c r="A43" s="943" t="s">
        <v>341</v>
      </c>
      <c r="B43" s="948" t="s">
        <v>1112</v>
      </c>
      <c r="C43" s="960" t="s">
        <v>1476</v>
      </c>
      <c r="D43" s="949">
        <v>287000</v>
      </c>
      <c r="E43" s="949">
        <v>0</v>
      </c>
      <c r="F43" s="950"/>
    </row>
    <row r="44" spans="1:7" s="936" customFormat="1" ht="22.5" customHeight="1">
      <c r="A44" s="1593" t="s">
        <v>13</v>
      </c>
      <c r="B44" s="1594"/>
      <c r="C44" s="1595"/>
      <c r="D44" s="953">
        <f>SUM(D45:D50)</f>
        <v>6451942</v>
      </c>
      <c r="E44" s="953">
        <f>SUM(E45:E50)</f>
        <v>559944.17</v>
      </c>
      <c r="F44" s="954">
        <f t="shared" si="0"/>
        <v>8.6786919349244</v>
      </c>
      <c r="G44" s="935"/>
    </row>
    <row r="45" spans="1:6" ht="31.5" customHeight="1">
      <c r="A45" s="943" t="s">
        <v>879</v>
      </c>
      <c r="B45" s="948" t="s">
        <v>14</v>
      </c>
      <c r="C45" s="960" t="s">
        <v>1353</v>
      </c>
      <c r="D45" s="946">
        <v>753942</v>
      </c>
      <c r="E45" s="946">
        <v>0</v>
      </c>
      <c r="F45" s="950">
        <f t="shared" si="0"/>
        <v>0</v>
      </c>
    </row>
    <row r="46" spans="1:6" ht="31.5" customHeight="1">
      <c r="A46" s="943" t="s">
        <v>29</v>
      </c>
      <c r="B46" s="948" t="s">
        <v>14</v>
      </c>
      <c r="C46" s="960" t="s">
        <v>1354</v>
      </c>
      <c r="D46" s="946">
        <v>150000</v>
      </c>
      <c r="E46" s="946">
        <v>0</v>
      </c>
      <c r="F46" s="950">
        <f t="shared" si="0"/>
        <v>0</v>
      </c>
    </row>
    <row r="47" spans="1:6" ht="31.5" customHeight="1">
      <c r="A47" s="943" t="s">
        <v>1302</v>
      </c>
      <c r="B47" s="948" t="s">
        <v>1136</v>
      </c>
      <c r="C47" s="960" t="s">
        <v>1300</v>
      </c>
      <c r="D47" s="946">
        <v>4400000</v>
      </c>
      <c r="E47" s="946">
        <v>15</v>
      </c>
      <c r="F47" s="950">
        <f t="shared" si="0"/>
        <v>0.00034090909090909094</v>
      </c>
    </row>
    <row r="48" spans="1:6" ht="31.5" customHeight="1">
      <c r="A48" s="943" t="s">
        <v>1303</v>
      </c>
      <c r="B48" s="948" t="s">
        <v>1136</v>
      </c>
      <c r="C48" s="960" t="s">
        <v>1589</v>
      </c>
      <c r="D48" s="946">
        <v>350000</v>
      </c>
      <c r="E48" s="946">
        <v>11316</v>
      </c>
      <c r="F48" s="950">
        <f t="shared" si="0"/>
        <v>3.2331428571428575</v>
      </c>
    </row>
    <row r="49" spans="1:6" ht="31.5" customHeight="1">
      <c r="A49" s="943" t="s">
        <v>1305</v>
      </c>
      <c r="B49" s="948" t="s">
        <v>1136</v>
      </c>
      <c r="C49" s="960" t="s">
        <v>1590</v>
      </c>
      <c r="D49" s="946">
        <v>568000</v>
      </c>
      <c r="E49" s="946">
        <v>548613.17</v>
      </c>
      <c r="F49" s="950">
        <f t="shared" si="0"/>
        <v>96.58682570422535</v>
      </c>
    </row>
    <row r="50" spans="1:6" ht="27" customHeight="1">
      <c r="A50" s="943" t="s">
        <v>1355</v>
      </c>
      <c r="B50" s="948" t="s">
        <v>1136</v>
      </c>
      <c r="C50" s="960" t="s">
        <v>1477</v>
      </c>
      <c r="D50" s="949">
        <v>230000</v>
      </c>
      <c r="E50" s="946">
        <v>0</v>
      </c>
      <c r="F50" s="950">
        <f t="shared" si="0"/>
        <v>0</v>
      </c>
    </row>
    <row r="51" spans="1:7" s="936" customFormat="1" ht="22.5" customHeight="1">
      <c r="A51" s="1588" t="s">
        <v>22</v>
      </c>
      <c r="B51" s="1589"/>
      <c r="C51" s="1590"/>
      <c r="D51" s="941">
        <f>SUM(D52:D54)</f>
        <v>8161058</v>
      </c>
      <c r="E51" s="941">
        <f>SUM(E52:E54)</f>
        <v>33099.3</v>
      </c>
      <c r="F51" s="942">
        <f t="shared" si="0"/>
        <v>0.4055760907470575</v>
      </c>
      <c r="G51" s="935"/>
    </row>
    <row r="52" spans="1:7" s="936" customFormat="1" ht="22.5" customHeight="1">
      <c r="A52" s="943" t="s">
        <v>1356</v>
      </c>
      <c r="B52" s="951">
        <v>85117</v>
      </c>
      <c r="C52" s="956" t="s">
        <v>1478</v>
      </c>
      <c r="D52" s="946">
        <v>7450000</v>
      </c>
      <c r="E52" s="946">
        <v>12.3</v>
      </c>
      <c r="F52" s="950">
        <f t="shared" si="0"/>
        <v>0.00016510067114093962</v>
      </c>
      <c r="G52" s="935"/>
    </row>
    <row r="53" spans="1:7" s="936" customFormat="1" ht="22.5" customHeight="1">
      <c r="A53" s="943" t="s">
        <v>1358</v>
      </c>
      <c r="B53" s="951">
        <v>85154</v>
      </c>
      <c r="C53" s="956" t="s">
        <v>1479</v>
      </c>
      <c r="D53" s="946">
        <v>465000</v>
      </c>
      <c r="E53" s="946">
        <v>33087</v>
      </c>
      <c r="F53" s="950">
        <f t="shared" si="0"/>
        <v>7.115483870967743</v>
      </c>
      <c r="G53" s="935"/>
    </row>
    <row r="54" spans="1:6" ht="22.5" customHeight="1">
      <c r="A54" s="943" t="s">
        <v>1359</v>
      </c>
      <c r="B54" s="948" t="s">
        <v>23</v>
      </c>
      <c r="C54" s="960" t="s">
        <v>1353</v>
      </c>
      <c r="D54" s="949">
        <v>246058</v>
      </c>
      <c r="E54" s="949">
        <v>0</v>
      </c>
      <c r="F54" s="950">
        <f t="shared" si="0"/>
        <v>0</v>
      </c>
    </row>
    <row r="55" spans="1:7" s="936" customFormat="1" ht="22.5" customHeight="1">
      <c r="A55" s="1593" t="s">
        <v>848</v>
      </c>
      <c r="B55" s="1594"/>
      <c r="C55" s="1595"/>
      <c r="D55" s="953">
        <f>SUM(D56:D61)</f>
        <v>5273806</v>
      </c>
      <c r="E55" s="953">
        <f>SUM(E56:E61)</f>
        <v>215405.3</v>
      </c>
      <c r="F55" s="954">
        <f t="shared" si="0"/>
        <v>4.0844373114976165</v>
      </c>
      <c r="G55" s="935"/>
    </row>
    <row r="56" spans="1:7" s="936" customFormat="1" ht="22.5" customHeight="1">
      <c r="A56" s="943" t="s">
        <v>1361</v>
      </c>
      <c r="B56" s="951">
        <v>90002</v>
      </c>
      <c r="C56" s="956" t="s">
        <v>1357</v>
      </c>
      <c r="D56" s="949">
        <v>1400000</v>
      </c>
      <c r="E56" s="949">
        <v>15596.4</v>
      </c>
      <c r="F56" s="950">
        <f t="shared" si="0"/>
        <v>1.1140285714285714</v>
      </c>
      <c r="G56" s="935"/>
    </row>
    <row r="57" spans="1:7" s="936" customFormat="1" ht="22.5" customHeight="1">
      <c r="A57" s="943" t="s">
        <v>1362</v>
      </c>
      <c r="B57" s="951">
        <v>90004</v>
      </c>
      <c r="C57" s="956" t="s">
        <v>1480</v>
      </c>
      <c r="D57" s="949">
        <v>200000</v>
      </c>
      <c r="E57" s="949">
        <v>0</v>
      </c>
      <c r="F57" s="950">
        <f t="shared" si="0"/>
        <v>0</v>
      </c>
      <c r="G57" s="935"/>
    </row>
    <row r="58" spans="1:6" ht="27.75" customHeight="1">
      <c r="A58" s="943" t="s">
        <v>1363</v>
      </c>
      <c r="B58" s="948" t="s">
        <v>91</v>
      </c>
      <c r="C58" s="956" t="s">
        <v>1580</v>
      </c>
      <c r="D58" s="949">
        <v>1105000</v>
      </c>
      <c r="E58" s="949">
        <v>199808.9</v>
      </c>
      <c r="F58" s="950">
        <f t="shared" si="0"/>
        <v>18.082253393665155</v>
      </c>
    </row>
    <row r="59" spans="1:6" ht="30" customHeight="1">
      <c r="A59" s="965" t="s">
        <v>1372</v>
      </c>
      <c r="B59" s="959" t="s">
        <v>93</v>
      </c>
      <c r="C59" s="966" t="s">
        <v>1481</v>
      </c>
      <c r="D59" s="957">
        <v>2199932</v>
      </c>
      <c r="E59" s="957">
        <v>0</v>
      </c>
      <c r="F59" s="971">
        <f t="shared" si="0"/>
        <v>0</v>
      </c>
    </row>
    <row r="60" spans="1:6" ht="30" customHeight="1">
      <c r="A60" s="943" t="s">
        <v>1373</v>
      </c>
      <c r="B60" s="948" t="s">
        <v>93</v>
      </c>
      <c r="C60" s="956" t="s">
        <v>1482</v>
      </c>
      <c r="D60" s="949">
        <v>150000</v>
      </c>
      <c r="E60" s="949">
        <v>0</v>
      </c>
      <c r="F60" s="950">
        <f t="shared" si="0"/>
        <v>0</v>
      </c>
    </row>
    <row r="61" spans="1:7" s="969" customFormat="1" ht="30" customHeight="1">
      <c r="A61" s="943" t="s">
        <v>1483</v>
      </c>
      <c r="B61" s="948" t="s">
        <v>93</v>
      </c>
      <c r="C61" s="967" t="s">
        <v>1511</v>
      </c>
      <c r="D61" s="949">
        <v>218874</v>
      </c>
      <c r="E61" s="949">
        <v>0</v>
      </c>
      <c r="F61" s="950">
        <f>E61/D61*100</f>
        <v>0</v>
      </c>
      <c r="G61" s="968"/>
    </row>
    <row r="62" spans="1:7" s="936" customFormat="1" ht="22.5" customHeight="1">
      <c r="A62" s="1588" t="s">
        <v>103</v>
      </c>
      <c r="B62" s="1589"/>
      <c r="C62" s="1590"/>
      <c r="D62" s="941">
        <f>SUM(D63:D67)</f>
        <v>10800000</v>
      </c>
      <c r="E62" s="941">
        <f>SUM(E63:E67)</f>
        <v>123905.15999999999</v>
      </c>
      <c r="F62" s="942">
        <f t="shared" si="0"/>
        <v>1.1472699999999998</v>
      </c>
      <c r="G62" s="935"/>
    </row>
    <row r="63" spans="1:7" s="936" customFormat="1" ht="22.5" customHeight="1">
      <c r="A63" s="943" t="s">
        <v>1484</v>
      </c>
      <c r="B63" s="951">
        <v>92601</v>
      </c>
      <c r="C63" s="956" t="s">
        <v>1360</v>
      </c>
      <c r="D63" s="946">
        <v>1850000</v>
      </c>
      <c r="E63" s="946">
        <v>0</v>
      </c>
      <c r="F63" s="947">
        <f t="shared" si="0"/>
        <v>0</v>
      </c>
      <c r="G63" s="935"/>
    </row>
    <row r="64" spans="1:6" ht="22.5" customHeight="1">
      <c r="A64" s="943" t="s">
        <v>1485</v>
      </c>
      <c r="B64" s="948" t="s">
        <v>119</v>
      </c>
      <c r="C64" s="960" t="s">
        <v>1304</v>
      </c>
      <c r="D64" s="949">
        <v>1550000</v>
      </c>
      <c r="E64" s="949">
        <v>9548.37</v>
      </c>
      <c r="F64" s="950">
        <f>E64/D64*100</f>
        <v>0.616023870967742</v>
      </c>
    </row>
    <row r="65" spans="1:6" ht="22.5" customHeight="1">
      <c r="A65" s="943" t="s">
        <v>1486</v>
      </c>
      <c r="B65" s="948" t="s">
        <v>119</v>
      </c>
      <c r="C65" s="960" t="s">
        <v>1301</v>
      </c>
      <c r="D65" s="949">
        <v>4500000</v>
      </c>
      <c r="E65" s="949">
        <v>0</v>
      </c>
      <c r="F65" s="947">
        <f>E65/D65*100</f>
        <v>0</v>
      </c>
    </row>
    <row r="66" spans="1:6" ht="22.5" customHeight="1">
      <c r="A66" s="943" t="s">
        <v>1487</v>
      </c>
      <c r="B66" s="948" t="s">
        <v>119</v>
      </c>
      <c r="C66" s="960" t="s">
        <v>1488</v>
      </c>
      <c r="D66" s="949">
        <v>70000</v>
      </c>
      <c r="E66" s="949">
        <v>0</v>
      </c>
      <c r="F66" s="947"/>
    </row>
    <row r="67" spans="1:6" ht="32.25" customHeight="1">
      <c r="A67" s="943" t="s">
        <v>1489</v>
      </c>
      <c r="B67" s="948" t="s">
        <v>119</v>
      </c>
      <c r="C67" s="960" t="s">
        <v>1306</v>
      </c>
      <c r="D67" s="949">
        <v>2830000</v>
      </c>
      <c r="E67" s="949">
        <v>114356.79</v>
      </c>
      <c r="F67" s="947">
        <f t="shared" si="0"/>
        <v>4.040875971731449</v>
      </c>
    </row>
    <row r="68" spans="1:7" s="936" customFormat="1" ht="22.5" customHeight="1" thickBot="1">
      <c r="A68" s="1585" t="s">
        <v>60</v>
      </c>
      <c r="B68" s="1586"/>
      <c r="C68" s="1587"/>
      <c r="D68" s="978">
        <f>SUM(D7,D27,D33,D35,D38,D42,D44,D51,D55,D62)</f>
        <v>93589206</v>
      </c>
      <c r="E68" s="978">
        <f>SUM(E7,E27,E33,E35,E38,E42,E44,E51,E55,E62)</f>
        <v>4592540.87</v>
      </c>
      <c r="F68" s="979">
        <f t="shared" si="0"/>
        <v>4.907126650908867</v>
      </c>
      <c r="G68" s="935"/>
    </row>
    <row r="69" ht="9.75" customHeight="1"/>
  </sheetData>
  <sheetProtection password="CF53" sheet="1" formatCells="0" formatColumns="0" formatRows="0" insertColumns="0" insertRows="0" insertHyperlinks="0" deleteColumns="0" deleteRows="0" sort="0" autoFilter="0" pivotTables="0"/>
  <mergeCells count="13">
    <mergeCell ref="A44:C44"/>
    <mergeCell ref="A51:C51"/>
    <mergeCell ref="A55:C55"/>
    <mergeCell ref="A68:C68"/>
    <mergeCell ref="A62:C62"/>
    <mergeCell ref="E1:F1"/>
    <mergeCell ref="A3:F3"/>
    <mergeCell ref="A7:C7"/>
    <mergeCell ref="A27:C27"/>
    <mergeCell ref="A33:C33"/>
    <mergeCell ref="A35:C35"/>
    <mergeCell ref="A2:F2"/>
    <mergeCell ref="A42:C42"/>
  </mergeCells>
  <printOptions/>
  <pageMargins left="0.7874015748031497" right="0.7874015748031497" top="0.5905511811023623" bottom="0.5905511811023623" header="0.5118110236220472" footer="0.5118110236220472"/>
  <pageSetup firstPageNumber="80" useFirstPageNumber="1" horizontalDpi="600" verticalDpi="600" orientation="landscape" paperSize="9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K35"/>
  <sheetViews>
    <sheetView view="pageBreakPreview" zoomScale="142" zoomScaleSheetLayoutView="142" zoomScalePageLayoutView="0" workbookViewId="0" topLeftCell="A1">
      <pane ySplit="7" topLeftCell="A29" activePane="bottomLeft" state="frozen"/>
      <selection pane="topLeft" activeCell="I244" sqref="I244"/>
      <selection pane="bottomLeft" activeCell="F20" sqref="F20"/>
    </sheetView>
  </sheetViews>
  <sheetFormatPr defaultColWidth="9.00390625" defaultRowHeight="12.75"/>
  <cols>
    <col min="1" max="1" width="5.625" style="1024" customWidth="1"/>
    <col min="2" max="2" width="7.75390625" style="1024" customWidth="1"/>
    <col min="3" max="3" width="31.125" style="1025" customWidth="1"/>
    <col min="4" max="4" width="16.00390625" style="1025" customWidth="1"/>
    <col min="5" max="6" width="12.25390625" style="1025" customWidth="1"/>
    <col min="7" max="7" width="12.125" style="1025" customWidth="1"/>
    <col min="8" max="8" width="12.25390625" style="1025" customWidth="1"/>
    <col min="9" max="9" width="16.875" style="1025" customWidth="1"/>
    <col min="10" max="10" width="10.375" style="1025" hidden="1" customWidth="1"/>
    <col min="11" max="11" width="9.00390625" style="1025" hidden="1" customWidth="1"/>
    <col min="12" max="16384" width="9.125" style="1025" customWidth="1"/>
  </cols>
  <sheetData>
    <row r="1" spans="8:9" ht="12.75">
      <c r="H1" s="246"/>
      <c r="I1" s="776" t="s">
        <v>626</v>
      </c>
    </row>
    <row r="2" ht="12.75" customHeight="1">
      <c r="H2" s="246"/>
    </row>
    <row r="3" spans="1:9" s="2" customFormat="1" ht="21" customHeight="1">
      <c r="A3" s="1601" t="s">
        <v>628</v>
      </c>
      <c r="B3" s="1601"/>
      <c r="C3" s="1601"/>
      <c r="D3" s="1601"/>
      <c r="E3" s="1601"/>
      <c r="F3" s="1601"/>
      <c r="G3" s="1601"/>
      <c r="H3" s="1601"/>
      <c r="I3" s="1601"/>
    </row>
    <row r="4" spans="8:10" ht="19.5" customHeight="1" thickBot="1">
      <c r="H4" s="349"/>
      <c r="I4" s="349" t="s">
        <v>169</v>
      </c>
      <c r="J4" s="349"/>
    </row>
    <row r="5" spans="1:9" s="755" customFormat="1" ht="17.25" customHeight="1">
      <c r="A5" s="1527" t="s">
        <v>122</v>
      </c>
      <c r="B5" s="1605" t="s">
        <v>170</v>
      </c>
      <c r="C5" s="1525" t="s">
        <v>1064</v>
      </c>
      <c r="D5" s="1607" t="s">
        <v>554</v>
      </c>
      <c r="E5" s="1524" t="s">
        <v>233</v>
      </c>
      <c r="F5" s="1524"/>
      <c r="G5" s="1524" t="s">
        <v>816</v>
      </c>
      <c r="H5" s="1604"/>
      <c r="I5" s="1598" t="s">
        <v>555</v>
      </c>
    </row>
    <row r="6" spans="1:9" s="755" customFormat="1" ht="39.75" customHeight="1">
      <c r="A6" s="1528"/>
      <c r="B6" s="1606"/>
      <c r="C6" s="1600"/>
      <c r="D6" s="1608"/>
      <c r="E6" s="1026" t="s">
        <v>172</v>
      </c>
      <c r="F6" s="1027" t="s">
        <v>173</v>
      </c>
      <c r="G6" s="1026" t="s">
        <v>172</v>
      </c>
      <c r="H6" s="1028" t="s">
        <v>173</v>
      </c>
      <c r="I6" s="1599"/>
    </row>
    <row r="7" spans="1:11" s="980" customFormat="1" ht="12.75" customHeight="1">
      <c r="A7" s="1029" t="s">
        <v>351</v>
      </c>
      <c r="B7" s="1030" t="s">
        <v>458</v>
      </c>
      <c r="C7" s="1031">
        <v>3</v>
      </c>
      <c r="D7" s="1031">
        <v>4</v>
      </c>
      <c r="E7" s="1031">
        <v>5</v>
      </c>
      <c r="F7" s="1032">
        <v>6</v>
      </c>
      <c r="G7" s="1032">
        <v>7</v>
      </c>
      <c r="H7" s="1031">
        <v>8</v>
      </c>
      <c r="I7" s="1033">
        <v>9</v>
      </c>
      <c r="K7" s="980" t="s">
        <v>931</v>
      </c>
    </row>
    <row r="8" spans="1:11" s="982" customFormat="1" ht="18.75" customHeight="1">
      <c r="A8" s="1596" t="s">
        <v>648</v>
      </c>
      <c r="B8" s="1597"/>
      <c r="C8" s="1597"/>
      <c r="D8" s="981">
        <f aca="true" t="shared" si="0" ref="D8:I8">SUM(D9,D15,D22,D26)</f>
        <v>0</v>
      </c>
      <c r="E8" s="981">
        <f t="shared" si="0"/>
        <v>2981247</v>
      </c>
      <c r="F8" s="981">
        <f t="shared" si="0"/>
        <v>1224481.3900000001</v>
      </c>
      <c r="G8" s="981">
        <f t="shared" si="0"/>
        <v>2981247</v>
      </c>
      <c r="H8" s="981">
        <f t="shared" si="0"/>
        <v>1129693.62</v>
      </c>
      <c r="I8" s="1034">
        <f t="shared" si="0"/>
        <v>94787.77000000002</v>
      </c>
      <c r="J8" s="1035">
        <f>D8+F8-H8</f>
        <v>94787.77000000002</v>
      </c>
      <c r="K8" s="1035">
        <f aca="true" t="shared" si="1" ref="K8:K25">I8-J8</f>
        <v>0</v>
      </c>
    </row>
    <row r="9" spans="1:11" s="987" customFormat="1" ht="24.75" customHeight="1">
      <c r="A9" s="983" t="s">
        <v>12</v>
      </c>
      <c r="B9" s="984" t="s">
        <v>14</v>
      </c>
      <c r="C9" s="985" t="s">
        <v>15</v>
      </c>
      <c r="D9" s="986">
        <f aca="true" t="shared" si="2" ref="D9:I9">SUM(D10,D11,D12,D13,D14)</f>
        <v>0</v>
      </c>
      <c r="E9" s="986">
        <f t="shared" si="2"/>
        <v>1140965</v>
      </c>
      <c r="F9" s="986">
        <f t="shared" si="2"/>
        <v>478324.8</v>
      </c>
      <c r="G9" s="986">
        <f t="shared" si="2"/>
        <v>1140965</v>
      </c>
      <c r="H9" s="986">
        <f t="shared" si="2"/>
        <v>453278.69000000006</v>
      </c>
      <c r="I9" s="1036">
        <f t="shared" si="2"/>
        <v>25046.11</v>
      </c>
      <c r="J9" s="1035">
        <f>D9+F9-H9</f>
        <v>25046.109999999928</v>
      </c>
      <c r="K9" s="1035">
        <f t="shared" si="1"/>
        <v>7.275957614183426E-11</v>
      </c>
    </row>
    <row r="10" spans="1:11" s="993" customFormat="1" ht="24.75" customHeight="1">
      <c r="A10" s="988" t="s">
        <v>12</v>
      </c>
      <c r="B10" s="989" t="s">
        <v>14</v>
      </c>
      <c r="C10" s="990" t="s">
        <v>634</v>
      </c>
      <c r="D10" s="991">
        <v>0</v>
      </c>
      <c r="E10" s="992">
        <v>195280</v>
      </c>
      <c r="F10" s="991">
        <v>59266.5</v>
      </c>
      <c r="G10" s="992">
        <v>195280</v>
      </c>
      <c r="H10" s="991">
        <v>59186.4</v>
      </c>
      <c r="I10" s="1012">
        <f>D10+F10-H10</f>
        <v>80.09999999999854</v>
      </c>
      <c r="J10" s="1037">
        <f aca="true" t="shared" si="3" ref="J10:J25">D10+F10-H10</f>
        <v>80.09999999999854</v>
      </c>
      <c r="K10" s="1035">
        <f t="shared" si="1"/>
        <v>0</v>
      </c>
    </row>
    <row r="11" spans="1:11" s="993" customFormat="1" ht="24.75" customHeight="1">
      <c r="A11" s="988" t="s">
        <v>12</v>
      </c>
      <c r="B11" s="989" t="s">
        <v>14</v>
      </c>
      <c r="C11" s="990" t="s">
        <v>635</v>
      </c>
      <c r="D11" s="991">
        <v>0</v>
      </c>
      <c r="E11" s="992">
        <v>170000</v>
      </c>
      <c r="F11" s="991">
        <v>53781</v>
      </c>
      <c r="G11" s="992">
        <v>170000</v>
      </c>
      <c r="H11" s="991">
        <v>50945.3</v>
      </c>
      <c r="I11" s="1012">
        <f>D11+F11-H11</f>
        <v>2835.699999999997</v>
      </c>
      <c r="J11" s="1037">
        <f t="shared" si="3"/>
        <v>2835.699999999997</v>
      </c>
      <c r="K11" s="1035">
        <f t="shared" si="1"/>
        <v>0</v>
      </c>
    </row>
    <row r="12" spans="1:11" s="993" customFormat="1" ht="27" customHeight="1">
      <c r="A12" s="988" t="s">
        <v>12</v>
      </c>
      <c r="B12" s="989" t="s">
        <v>14</v>
      </c>
      <c r="C12" s="990" t="s">
        <v>1091</v>
      </c>
      <c r="D12" s="991">
        <v>0</v>
      </c>
      <c r="E12" s="992">
        <v>385555</v>
      </c>
      <c r="F12" s="991">
        <v>192735.64</v>
      </c>
      <c r="G12" s="992">
        <v>385555</v>
      </c>
      <c r="H12" s="991">
        <v>181325.94</v>
      </c>
      <c r="I12" s="1012">
        <f>D12+F12-H12</f>
        <v>11409.700000000012</v>
      </c>
      <c r="J12" s="1037">
        <f t="shared" si="3"/>
        <v>11409.700000000012</v>
      </c>
      <c r="K12" s="1035">
        <f t="shared" si="1"/>
        <v>0</v>
      </c>
    </row>
    <row r="13" spans="1:11" s="993" customFormat="1" ht="24.75" customHeight="1">
      <c r="A13" s="994" t="s">
        <v>12</v>
      </c>
      <c r="B13" s="995" t="s">
        <v>14</v>
      </c>
      <c r="C13" s="996" t="s">
        <v>636</v>
      </c>
      <c r="D13" s="997">
        <v>0</v>
      </c>
      <c r="E13" s="998">
        <v>180000</v>
      </c>
      <c r="F13" s="997">
        <v>103103.37</v>
      </c>
      <c r="G13" s="998">
        <v>180000</v>
      </c>
      <c r="H13" s="997">
        <v>96496.53</v>
      </c>
      <c r="I13" s="1012">
        <f>D13+F13-H13</f>
        <v>6606.8399999999965</v>
      </c>
      <c r="J13" s="1037">
        <f t="shared" si="3"/>
        <v>6606.8399999999965</v>
      </c>
      <c r="K13" s="1035">
        <f t="shared" si="1"/>
        <v>0</v>
      </c>
    </row>
    <row r="14" spans="1:11" s="993" customFormat="1" ht="24.75" customHeight="1">
      <c r="A14" s="999" t="s">
        <v>12</v>
      </c>
      <c r="B14" s="1000" t="s">
        <v>14</v>
      </c>
      <c r="C14" s="1001" t="s">
        <v>895</v>
      </c>
      <c r="D14" s="1002">
        <v>0</v>
      </c>
      <c r="E14" s="1003">
        <v>210130</v>
      </c>
      <c r="F14" s="1002">
        <v>69438.29</v>
      </c>
      <c r="G14" s="1003">
        <v>210130</v>
      </c>
      <c r="H14" s="1002">
        <v>65324.52</v>
      </c>
      <c r="I14" s="1012">
        <f>D14+F14-H14</f>
        <v>4113.769999999997</v>
      </c>
      <c r="J14" s="1037">
        <f t="shared" si="3"/>
        <v>4113.769999999997</v>
      </c>
      <c r="K14" s="1035">
        <f t="shared" si="1"/>
        <v>0</v>
      </c>
    </row>
    <row r="15" spans="1:11" s="987" customFormat="1" ht="24.75" customHeight="1">
      <c r="A15" s="983" t="s">
        <v>12</v>
      </c>
      <c r="B15" s="984" t="s">
        <v>1136</v>
      </c>
      <c r="C15" s="985" t="s">
        <v>1137</v>
      </c>
      <c r="D15" s="986">
        <f aca="true" t="shared" si="4" ref="D15:I15">SUM(D16:D21)</f>
        <v>0</v>
      </c>
      <c r="E15" s="986">
        <f t="shared" si="4"/>
        <v>952022</v>
      </c>
      <c r="F15" s="986">
        <f t="shared" si="4"/>
        <v>425306.06</v>
      </c>
      <c r="G15" s="986">
        <f t="shared" si="4"/>
        <v>952022</v>
      </c>
      <c r="H15" s="986">
        <f t="shared" si="4"/>
        <v>415193.80999999994</v>
      </c>
      <c r="I15" s="1010">
        <f t="shared" si="4"/>
        <v>10112.250000000015</v>
      </c>
      <c r="J15" s="1035">
        <f aca="true" t="shared" si="5" ref="J15:J21">D15+F15-H15</f>
        <v>10112.250000000058</v>
      </c>
      <c r="K15" s="1035">
        <f aca="true" t="shared" si="6" ref="K15:K21">I15-J15</f>
        <v>-4.3655745685100555E-11</v>
      </c>
    </row>
    <row r="16" spans="1:11" s="993" customFormat="1" ht="24.75" customHeight="1">
      <c r="A16" s="988" t="s">
        <v>12</v>
      </c>
      <c r="B16" s="989" t="s">
        <v>1136</v>
      </c>
      <c r="C16" s="990" t="s">
        <v>537</v>
      </c>
      <c r="D16" s="991">
        <v>0</v>
      </c>
      <c r="E16" s="1008">
        <v>191900</v>
      </c>
      <c r="F16" s="1008">
        <v>90638.24</v>
      </c>
      <c r="G16" s="1008">
        <v>191900</v>
      </c>
      <c r="H16" s="1009">
        <v>90515.09</v>
      </c>
      <c r="I16" s="1012">
        <f aca="true" t="shared" si="7" ref="I16:I21">D16+F16-H16</f>
        <v>123.15000000000873</v>
      </c>
      <c r="J16" s="1037">
        <f t="shared" si="5"/>
        <v>123.15000000000873</v>
      </c>
      <c r="K16" s="1035">
        <f t="shared" si="6"/>
        <v>0</v>
      </c>
    </row>
    <row r="17" spans="1:11" s="993" customFormat="1" ht="24.75" customHeight="1">
      <c r="A17" s="988" t="s">
        <v>12</v>
      </c>
      <c r="B17" s="989" t="s">
        <v>1136</v>
      </c>
      <c r="C17" s="990" t="s">
        <v>538</v>
      </c>
      <c r="D17" s="991">
        <v>0</v>
      </c>
      <c r="E17" s="1008">
        <v>199104</v>
      </c>
      <c r="F17" s="1008">
        <v>80735.46</v>
      </c>
      <c r="G17" s="1008">
        <v>199104</v>
      </c>
      <c r="H17" s="1009">
        <v>79514.41</v>
      </c>
      <c r="I17" s="1012">
        <f t="shared" si="7"/>
        <v>1221.050000000003</v>
      </c>
      <c r="J17" s="1037">
        <f t="shared" si="5"/>
        <v>1221.050000000003</v>
      </c>
      <c r="K17" s="1035">
        <f t="shared" si="6"/>
        <v>0</v>
      </c>
    </row>
    <row r="18" spans="1:11" s="993" customFormat="1" ht="24.75" customHeight="1">
      <c r="A18" s="988" t="s">
        <v>12</v>
      </c>
      <c r="B18" s="989" t="s">
        <v>1136</v>
      </c>
      <c r="C18" s="990" t="s">
        <v>539</v>
      </c>
      <c r="D18" s="991">
        <v>0</v>
      </c>
      <c r="E18" s="1008">
        <v>118307</v>
      </c>
      <c r="F18" s="1008">
        <v>59918.61</v>
      </c>
      <c r="G18" s="1008">
        <v>118307</v>
      </c>
      <c r="H18" s="1009">
        <v>55023.15</v>
      </c>
      <c r="I18" s="1012">
        <f t="shared" si="7"/>
        <v>4895.459999999999</v>
      </c>
      <c r="J18" s="1037">
        <f t="shared" si="5"/>
        <v>4895.459999999999</v>
      </c>
      <c r="K18" s="1035">
        <f t="shared" si="6"/>
        <v>0</v>
      </c>
    </row>
    <row r="19" spans="1:11" s="993" customFormat="1" ht="24.75" customHeight="1">
      <c r="A19" s="988" t="s">
        <v>12</v>
      </c>
      <c r="B19" s="989" t="s">
        <v>1136</v>
      </c>
      <c r="C19" s="990" t="s">
        <v>540</v>
      </c>
      <c r="D19" s="991">
        <v>0</v>
      </c>
      <c r="E19" s="1008">
        <v>124600</v>
      </c>
      <c r="F19" s="1008">
        <v>59575.43</v>
      </c>
      <c r="G19" s="1008">
        <v>124600</v>
      </c>
      <c r="H19" s="1009">
        <v>59044.81</v>
      </c>
      <c r="I19" s="1012">
        <f t="shared" si="7"/>
        <v>530.6200000000026</v>
      </c>
      <c r="J19" s="1037">
        <f t="shared" si="5"/>
        <v>530.6200000000026</v>
      </c>
      <c r="K19" s="1035">
        <f t="shared" si="6"/>
        <v>0</v>
      </c>
    </row>
    <row r="20" spans="1:11" s="993" customFormat="1" ht="24.75" customHeight="1">
      <c r="A20" s="988" t="s">
        <v>12</v>
      </c>
      <c r="B20" s="989" t="s">
        <v>1136</v>
      </c>
      <c r="C20" s="990" t="s">
        <v>541</v>
      </c>
      <c r="D20" s="991">
        <v>0</v>
      </c>
      <c r="E20" s="1008">
        <v>199804</v>
      </c>
      <c r="F20" s="1008">
        <v>74118.63</v>
      </c>
      <c r="G20" s="1008">
        <v>199804</v>
      </c>
      <c r="H20" s="1009">
        <v>74118.63</v>
      </c>
      <c r="I20" s="1012">
        <f t="shared" si="7"/>
        <v>0</v>
      </c>
      <c r="J20" s="1037">
        <f t="shared" si="5"/>
        <v>0</v>
      </c>
      <c r="K20" s="1035">
        <f t="shared" si="6"/>
        <v>0</v>
      </c>
    </row>
    <row r="21" spans="1:11" s="993" customFormat="1" ht="24.75" customHeight="1">
      <c r="A21" s="1068" t="s">
        <v>12</v>
      </c>
      <c r="B21" s="1069" t="s">
        <v>1136</v>
      </c>
      <c r="C21" s="1070" t="s">
        <v>542</v>
      </c>
      <c r="D21" s="1071">
        <v>0</v>
      </c>
      <c r="E21" s="1002">
        <v>118307</v>
      </c>
      <c r="F21" s="1002">
        <v>60319.69</v>
      </c>
      <c r="G21" s="1002">
        <v>118307</v>
      </c>
      <c r="H21" s="1013">
        <v>56977.72</v>
      </c>
      <c r="I21" s="1072">
        <f t="shared" si="7"/>
        <v>3341.970000000001</v>
      </c>
      <c r="J21" s="1037">
        <f t="shared" si="5"/>
        <v>3341.970000000001</v>
      </c>
      <c r="K21" s="1035">
        <f t="shared" si="6"/>
        <v>0</v>
      </c>
    </row>
    <row r="22" spans="1:11" s="987" customFormat="1" ht="24.75" customHeight="1">
      <c r="A22" s="983" t="s">
        <v>12</v>
      </c>
      <c r="B22" s="984" t="s">
        <v>16</v>
      </c>
      <c r="C22" s="985" t="s">
        <v>17</v>
      </c>
      <c r="D22" s="986">
        <f aca="true" t="shared" si="8" ref="D22:I22">SUM(D23,D24,D25)</f>
        <v>0</v>
      </c>
      <c r="E22" s="986">
        <f t="shared" si="8"/>
        <v>888260</v>
      </c>
      <c r="F22" s="986">
        <f t="shared" si="8"/>
        <v>320850.53</v>
      </c>
      <c r="G22" s="986">
        <f t="shared" si="8"/>
        <v>888260</v>
      </c>
      <c r="H22" s="986">
        <f t="shared" si="8"/>
        <v>261221.12000000002</v>
      </c>
      <c r="I22" s="1010">
        <f t="shared" si="8"/>
        <v>59629.41</v>
      </c>
      <c r="J22" s="1035">
        <f t="shared" si="3"/>
        <v>59629.41</v>
      </c>
      <c r="K22" s="1035">
        <f t="shared" si="1"/>
        <v>0</v>
      </c>
    </row>
    <row r="23" spans="1:11" s="993" customFormat="1" ht="24.75" customHeight="1">
      <c r="A23" s="988" t="s">
        <v>12</v>
      </c>
      <c r="B23" s="989" t="s">
        <v>16</v>
      </c>
      <c r="C23" s="990" t="s">
        <v>482</v>
      </c>
      <c r="D23" s="991">
        <v>0</v>
      </c>
      <c r="E23" s="991">
        <v>712000</v>
      </c>
      <c r="F23" s="991">
        <v>255979.64</v>
      </c>
      <c r="G23" s="991">
        <v>712000</v>
      </c>
      <c r="H23" s="1011">
        <v>207395.07</v>
      </c>
      <c r="I23" s="1012">
        <f>D23+F23-H23</f>
        <v>48584.57000000001</v>
      </c>
      <c r="J23" s="1037">
        <f t="shared" si="3"/>
        <v>48584.57000000001</v>
      </c>
      <c r="K23" s="1035">
        <f t="shared" si="1"/>
        <v>0</v>
      </c>
    </row>
    <row r="24" spans="1:11" s="993" customFormat="1" ht="24.75" customHeight="1">
      <c r="A24" s="988" t="s">
        <v>12</v>
      </c>
      <c r="B24" s="989" t="s">
        <v>16</v>
      </c>
      <c r="C24" s="990" t="s">
        <v>639</v>
      </c>
      <c r="D24" s="991">
        <v>0</v>
      </c>
      <c r="E24" s="991">
        <v>136250</v>
      </c>
      <c r="F24" s="991">
        <v>50058.18</v>
      </c>
      <c r="G24" s="991">
        <v>136250</v>
      </c>
      <c r="H24" s="1011">
        <v>41010.08</v>
      </c>
      <c r="I24" s="1012">
        <f>D24+F24-H24</f>
        <v>9048.099999999999</v>
      </c>
      <c r="J24" s="1037">
        <f t="shared" si="3"/>
        <v>9048.099999999999</v>
      </c>
      <c r="K24" s="1035">
        <f t="shared" si="1"/>
        <v>0</v>
      </c>
    </row>
    <row r="25" spans="1:11" s="993" customFormat="1" ht="24.75" customHeight="1">
      <c r="A25" s="999" t="s">
        <v>12</v>
      </c>
      <c r="B25" s="1000" t="s">
        <v>16</v>
      </c>
      <c r="C25" s="1001" t="s">
        <v>640</v>
      </c>
      <c r="D25" s="1002">
        <v>0</v>
      </c>
      <c r="E25" s="1002">
        <v>40010</v>
      </c>
      <c r="F25" s="1002">
        <v>14812.71</v>
      </c>
      <c r="G25" s="1002">
        <v>40010</v>
      </c>
      <c r="H25" s="1013">
        <v>12815.97</v>
      </c>
      <c r="I25" s="1012">
        <f>D25+F25-H25</f>
        <v>1996.7399999999998</v>
      </c>
      <c r="J25" s="1037">
        <f t="shared" si="3"/>
        <v>1996.7399999999998</v>
      </c>
      <c r="K25" s="1035">
        <f t="shared" si="1"/>
        <v>0</v>
      </c>
    </row>
    <row r="26" spans="1:11" s="987" customFormat="1" ht="24.75" customHeight="1" hidden="1">
      <c r="A26" s="1004" t="s">
        <v>35</v>
      </c>
      <c r="B26" s="1005" t="s">
        <v>83</v>
      </c>
      <c r="C26" s="1006" t="s">
        <v>558</v>
      </c>
      <c r="D26" s="1007">
        <v>0</v>
      </c>
      <c r="E26" s="1007">
        <v>0</v>
      </c>
      <c r="F26" s="1007">
        <v>0</v>
      </c>
      <c r="G26" s="1007">
        <v>0</v>
      </c>
      <c r="H26" s="1014">
        <v>0</v>
      </c>
      <c r="I26" s="1015">
        <f>D26+F26-H26</f>
        <v>0</v>
      </c>
      <c r="J26" s="1035">
        <f>D26+F26-H26</f>
        <v>0</v>
      </c>
      <c r="K26" s="1035">
        <f>I26-J26</f>
        <v>0</v>
      </c>
    </row>
    <row r="27" spans="1:11" s="982" customFormat="1" ht="21" customHeight="1">
      <c r="A27" s="1609" t="s">
        <v>1041</v>
      </c>
      <c r="B27" s="1610"/>
      <c r="C27" s="1611"/>
      <c r="D27" s="981">
        <f aca="true" t="shared" si="9" ref="D27:I27">SUM(D28,D29,D32,D33,D34)</f>
        <v>0</v>
      </c>
      <c r="E27" s="981">
        <f t="shared" si="9"/>
        <v>1508820</v>
      </c>
      <c r="F27" s="981">
        <f t="shared" si="9"/>
        <v>472054.58</v>
      </c>
      <c r="G27" s="981">
        <f t="shared" si="9"/>
        <v>1508820</v>
      </c>
      <c r="H27" s="981">
        <f t="shared" si="9"/>
        <v>416087.69999999995</v>
      </c>
      <c r="I27" s="1034">
        <f t="shared" si="9"/>
        <v>55966.87999999999</v>
      </c>
      <c r="J27" s="1035">
        <f>D27+F27-H27</f>
        <v>55966.88000000006</v>
      </c>
      <c r="K27" s="1035">
        <f>I27-J27</f>
        <v>-7.275957614183426E-11</v>
      </c>
    </row>
    <row r="28" spans="1:11" s="987" customFormat="1" ht="26.25" customHeight="1">
      <c r="A28" s="1004" t="s">
        <v>12</v>
      </c>
      <c r="B28" s="1005" t="s">
        <v>18</v>
      </c>
      <c r="C28" s="1006" t="s">
        <v>1065</v>
      </c>
      <c r="D28" s="1007">
        <v>0</v>
      </c>
      <c r="E28" s="1007">
        <v>56000</v>
      </c>
      <c r="F28" s="1007">
        <v>6934</v>
      </c>
      <c r="G28" s="1007">
        <v>56000</v>
      </c>
      <c r="H28" s="1014">
        <v>5930.39</v>
      </c>
      <c r="I28" s="1015">
        <f aca="true" t="shared" si="10" ref="I28:I34">D28+F28-H28</f>
        <v>1003.6099999999997</v>
      </c>
      <c r="J28" s="1035">
        <f>D28+F28-H28</f>
        <v>1003.6099999999997</v>
      </c>
      <c r="K28" s="1035">
        <f>I28-J28</f>
        <v>0</v>
      </c>
    </row>
    <row r="29" spans="1:11" s="987" customFormat="1" ht="24.75" customHeight="1">
      <c r="A29" s="983" t="s">
        <v>12</v>
      </c>
      <c r="B29" s="984" t="s">
        <v>19</v>
      </c>
      <c r="C29" s="985" t="s">
        <v>20</v>
      </c>
      <c r="D29" s="986">
        <f>SUM(D30,D31)</f>
        <v>0</v>
      </c>
      <c r="E29" s="986">
        <f>SUM(E30,E31)</f>
        <v>453500</v>
      </c>
      <c r="F29" s="986">
        <f>SUM(F30,F31)</f>
        <v>137005.49</v>
      </c>
      <c r="G29" s="986">
        <f>SUM(G30,G31)</f>
        <v>453500</v>
      </c>
      <c r="H29" s="986">
        <f>SUM(H30,H31)</f>
        <v>101069.84999999999</v>
      </c>
      <c r="I29" s="1039">
        <f t="shared" si="10"/>
        <v>35935.64</v>
      </c>
      <c r="J29" s="1035">
        <f aca="true" t="shared" si="11" ref="J29:J35">D29+F29-H29</f>
        <v>35935.64</v>
      </c>
      <c r="K29" s="1035">
        <f aca="true" t="shared" si="12" ref="K29:K35">I29-J29</f>
        <v>0</v>
      </c>
    </row>
    <row r="30" spans="1:11" s="993" customFormat="1" ht="27" customHeight="1">
      <c r="A30" s="988" t="s">
        <v>12</v>
      </c>
      <c r="B30" s="989" t="s">
        <v>19</v>
      </c>
      <c r="C30" s="990" t="s">
        <v>1406</v>
      </c>
      <c r="D30" s="991">
        <v>0</v>
      </c>
      <c r="E30" s="991">
        <v>93500</v>
      </c>
      <c r="F30" s="991">
        <v>9023.59</v>
      </c>
      <c r="G30" s="991">
        <v>93500</v>
      </c>
      <c r="H30" s="1011">
        <v>8666.73</v>
      </c>
      <c r="I30" s="1012">
        <f t="shared" si="10"/>
        <v>356.8600000000006</v>
      </c>
      <c r="J30" s="1037">
        <f t="shared" si="11"/>
        <v>356.8600000000006</v>
      </c>
      <c r="K30" s="1037">
        <f t="shared" si="12"/>
        <v>0</v>
      </c>
    </row>
    <row r="31" spans="1:11" s="993" customFormat="1" ht="24.75" customHeight="1">
      <c r="A31" s="999" t="s">
        <v>12</v>
      </c>
      <c r="B31" s="1000" t="s">
        <v>19</v>
      </c>
      <c r="C31" s="1001" t="s">
        <v>483</v>
      </c>
      <c r="D31" s="1002">
        <v>0</v>
      </c>
      <c r="E31" s="1002">
        <v>360000</v>
      </c>
      <c r="F31" s="1002">
        <v>127981.9</v>
      </c>
      <c r="G31" s="1002">
        <v>360000</v>
      </c>
      <c r="H31" s="1013">
        <v>92403.12</v>
      </c>
      <c r="I31" s="1012">
        <f t="shared" si="10"/>
        <v>35578.78</v>
      </c>
      <c r="J31" s="1037">
        <f t="shared" si="11"/>
        <v>35578.78</v>
      </c>
      <c r="K31" s="1037">
        <f t="shared" si="12"/>
        <v>0</v>
      </c>
    </row>
    <row r="32" spans="1:11" s="987" customFormat="1" ht="24.75" customHeight="1">
      <c r="A32" s="1004" t="s">
        <v>35</v>
      </c>
      <c r="B32" s="1005" t="s">
        <v>39</v>
      </c>
      <c r="C32" s="1006" t="s">
        <v>556</v>
      </c>
      <c r="D32" s="1007">
        <v>0</v>
      </c>
      <c r="E32" s="1007">
        <v>485000</v>
      </c>
      <c r="F32" s="1007">
        <v>132306.53</v>
      </c>
      <c r="G32" s="1007">
        <v>485000</v>
      </c>
      <c r="H32" s="1014">
        <v>118583.54</v>
      </c>
      <c r="I32" s="1015">
        <f t="shared" si="10"/>
        <v>13722.990000000005</v>
      </c>
      <c r="J32" s="1035">
        <f t="shared" si="11"/>
        <v>13722.990000000005</v>
      </c>
      <c r="K32" s="1035">
        <f t="shared" si="12"/>
        <v>0</v>
      </c>
    </row>
    <row r="33" spans="1:11" s="987" customFormat="1" ht="24.75" customHeight="1">
      <c r="A33" s="1004" t="s">
        <v>35</v>
      </c>
      <c r="B33" s="1005" t="s">
        <v>40</v>
      </c>
      <c r="C33" s="1006" t="s">
        <v>557</v>
      </c>
      <c r="D33" s="1007">
        <v>0</v>
      </c>
      <c r="E33" s="1007">
        <v>9300</v>
      </c>
      <c r="F33" s="1007">
        <v>3564</v>
      </c>
      <c r="G33" s="1007">
        <v>9300</v>
      </c>
      <c r="H33" s="1014">
        <v>910.53</v>
      </c>
      <c r="I33" s="1015">
        <f t="shared" si="10"/>
        <v>2653.4700000000003</v>
      </c>
      <c r="J33" s="1035">
        <f t="shared" si="11"/>
        <v>2653.4700000000003</v>
      </c>
      <c r="K33" s="1035">
        <f t="shared" si="12"/>
        <v>0</v>
      </c>
    </row>
    <row r="34" spans="1:11" s="987" customFormat="1" ht="24.75" customHeight="1" thickBot="1">
      <c r="A34" s="1016" t="s">
        <v>35</v>
      </c>
      <c r="B34" s="1017" t="s">
        <v>85</v>
      </c>
      <c r="C34" s="1018" t="s">
        <v>641</v>
      </c>
      <c r="D34" s="1019">
        <v>0</v>
      </c>
      <c r="E34" s="1019">
        <v>505020</v>
      </c>
      <c r="F34" s="1019">
        <v>192244.56</v>
      </c>
      <c r="G34" s="1019">
        <v>505020</v>
      </c>
      <c r="H34" s="1020">
        <v>189593.39</v>
      </c>
      <c r="I34" s="1021">
        <f t="shared" si="10"/>
        <v>2651.1699999999837</v>
      </c>
      <c r="J34" s="1035">
        <f>D34+F34-H34</f>
        <v>2651.1699999999837</v>
      </c>
      <c r="K34" s="1035">
        <f>I34-J34</f>
        <v>0</v>
      </c>
    </row>
    <row r="35" spans="1:11" s="1023" customFormat="1" ht="24.75" customHeight="1" thickBot="1">
      <c r="A35" s="1602" t="s">
        <v>633</v>
      </c>
      <c r="B35" s="1603"/>
      <c r="C35" s="1603"/>
      <c r="D35" s="1022">
        <f aca="true" t="shared" si="13" ref="D35:I35">SUM(D8,D27)</f>
        <v>0</v>
      </c>
      <c r="E35" s="1022">
        <f t="shared" si="13"/>
        <v>4490067</v>
      </c>
      <c r="F35" s="1022">
        <f t="shared" si="13"/>
        <v>1696535.9700000002</v>
      </c>
      <c r="G35" s="1022">
        <f t="shared" si="13"/>
        <v>4490067</v>
      </c>
      <c r="H35" s="1022">
        <f t="shared" si="13"/>
        <v>1545781.32</v>
      </c>
      <c r="I35" s="1038">
        <f t="shared" si="13"/>
        <v>150754.65000000002</v>
      </c>
      <c r="J35" s="1035">
        <f t="shared" si="11"/>
        <v>150754.65000000014</v>
      </c>
      <c r="K35" s="1035">
        <f t="shared" si="12"/>
        <v>0</v>
      </c>
    </row>
  </sheetData>
  <sheetProtection password="CF53" sheet="1" formatCells="0" formatColumns="0" formatRows="0" insertColumns="0" insertRows="0" insertHyperlinks="0" deleteColumns="0" deleteRows="0" sort="0" autoFilter="0" pivotTables="0"/>
  <mergeCells count="11">
    <mergeCell ref="A27:C27"/>
    <mergeCell ref="A8:C8"/>
    <mergeCell ref="I5:I6"/>
    <mergeCell ref="C5:C6"/>
    <mergeCell ref="E5:F5"/>
    <mergeCell ref="A3:I3"/>
    <mergeCell ref="A35:C35"/>
    <mergeCell ref="G5:H5"/>
    <mergeCell ref="A5:A6"/>
    <mergeCell ref="B5:B6"/>
    <mergeCell ref="D5:D6"/>
  </mergeCells>
  <printOptions/>
  <pageMargins left="1.1811023622047245" right="0.7874015748031497" top="0.5905511811023623" bottom="0.5905511811023623" header="0.5118110236220472" footer="0.5118110236220472"/>
  <pageSetup firstPageNumber="84" useFirstPageNumber="1" horizontalDpi="600" verticalDpi="600" orientation="landscape" paperSize="9" r:id="rId1"/>
  <headerFooter alignWithMargins="0">
    <oddFooter>&amp;C&amp;P</oddFooter>
  </headerFooter>
  <rowBreaks count="1" manualBreakCount="1">
    <brk id="21" max="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H37"/>
  <sheetViews>
    <sheetView view="pageBreakPreview" zoomScale="124" zoomScaleSheetLayoutView="124" zoomScalePageLayoutView="0" workbookViewId="0" topLeftCell="A28">
      <selection activeCell="F28" sqref="F28"/>
    </sheetView>
  </sheetViews>
  <sheetFormatPr defaultColWidth="9.00390625" defaultRowHeight="12.75"/>
  <cols>
    <col min="1" max="1" width="3.375" style="1040" customWidth="1"/>
    <col min="2" max="2" width="7.25390625" style="1040" customWidth="1"/>
    <col min="3" max="3" width="38.875" style="1041" customWidth="1"/>
    <col min="4" max="4" width="10.875" style="1041" customWidth="1"/>
    <col min="5" max="5" width="12.625" style="1054" customWidth="1"/>
    <col min="6" max="6" width="12.625" style="1041" customWidth="1"/>
    <col min="7" max="7" width="7.00390625" style="1041" customWidth="1"/>
    <col min="8" max="8" width="15.625" style="1041" customWidth="1"/>
    <col min="9" max="16384" width="9.125" style="1041" customWidth="1"/>
  </cols>
  <sheetData>
    <row r="1" spans="5:7" ht="12.75">
      <c r="E1" s="776"/>
      <c r="F1" s="719"/>
      <c r="G1" s="776" t="s">
        <v>921</v>
      </c>
    </row>
    <row r="2" spans="5:6" ht="19.5" customHeight="1">
      <c r="E2" s="1439"/>
      <c r="F2" s="1439"/>
    </row>
    <row r="3" spans="1:7" ht="29.25" customHeight="1">
      <c r="A3" s="1612" t="s">
        <v>1512</v>
      </c>
      <c r="B3" s="1612"/>
      <c r="C3" s="1612"/>
      <c r="D3" s="1612"/>
      <c r="E3" s="1612"/>
      <c r="F3" s="1612"/>
      <c r="G3" s="1612"/>
    </row>
    <row r="4" spans="4:8" ht="29.25" customHeight="1" thickBot="1">
      <c r="D4" s="1043"/>
      <c r="E4" s="1044"/>
      <c r="F4" s="1044"/>
      <c r="G4" s="1045" t="s">
        <v>169</v>
      </c>
      <c r="H4" s="1044"/>
    </row>
    <row r="5" spans="1:7" s="1042" customFormat="1" ht="56.25" customHeight="1">
      <c r="A5" s="1058" t="s">
        <v>823</v>
      </c>
      <c r="B5" s="1059" t="s">
        <v>170</v>
      </c>
      <c r="C5" s="1059" t="s">
        <v>123</v>
      </c>
      <c r="D5" s="1060" t="s">
        <v>1138</v>
      </c>
      <c r="E5" s="1061" t="s">
        <v>1582</v>
      </c>
      <c r="F5" s="1060" t="s">
        <v>908</v>
      </c>
      <c r="G5" s="1062" t="s">
        <v>262</v>
      </c>
    </row>
    <row r="6" spans="1:7" s="1048" customFormat="1" ht="14.25" customHeight="1">
      <c r="A6" s="1063">
        <v>1</v>
      </c>
      <c r="B6" s="1046">
        <v>2</v>
      </c>
      <c r="C6" s="1046">
        <v>3</v>
      </c>
      <c r="D6" s="1047">
        <v>4</v>
      </c>
      <c r="E6" s="1047">
        <v>5</v>
      </c>
      <c r="F6" s="1047">
        <v>6</v>
      </c>
      <c r="G6" s="1064">
        <v>7</v>
      </c>
    </row>
    <row r="7" spans="1:7" s="1048" customFormat="1" ht="30" customHeight="1">
      <c r="A7" s="1065" t="s">
        <v>826</v>
      </c>
      <c r="B7" s="1049">
        <v>60015</v>
      </c>
      <c r="C7" s="1052" t="s">
        <v>1491</v>
      </c>
      <c r="D7" s="1050">
        <v>256514</v>
      </c>
      <c r="E7" s="1053">
        <v>256514</v>
      </c>
      <c r="F7" s="1053">
        <f>D7-E7</f>
        <v>0</v>
      </c>
      <c r="G7" s="1066">
        <f>E7*100/D7</f>
        <v>100</v>
      </c>
    </row>
    <row r="8" spans="1:7" s="1048" customFormat="1" ht="30" customHeight="1">
      <c r="A8" s="1065" t="s">
        <v>827</v>
      </c>
      <c r="B8" s="1049">
        <v>60015</v>
      </c>
      <c r="C8" s="1052" t="s">
        <v>1492</v>
      </c>
      <c r="D8" s="1050">
        <v>23500</v>
      </c>
      <c r="E8" s="1053">
        <v>23500</v>
      </c>
      <c r="F8" s="1053">
        <f>D8-E8</f>
        <v>0</v>
      </c>
      <c r="G8" s="1066">
        <f>E8*100/D8</f>
        <v>100</v>
      </c>
    </row>
    <row r="9" spans="1:7" s="1048" customFormat="1" ht="23.25" customHeight="1">
      <c r="A9" s="1065" t="s">
        <v>942</v>
      </c>
      <c r="B9" s="1049">
        <v>60015</v>
      </c>
      <c r="C9" s="1052" t="s">
        <v>1493</v>
      </c>
      <c r="D9" s="1050">
        <v>180000</v>
      </c>
      <c r="E9" s="1053">
        <v>172495.2</v>
      </c>
      <c r="F9" s="1053">
        <f aca="true" t="shared" si="0" ref="F9:F35">D9-E9</f>
        <v>7504.799999999988</v>
      </c>
      <c r="G9" s="1066">
        <f aca="true" t="shared" si="1" ref="G9:G36">E9*100/D9</f>
        <v>95.83066666666667</v>
      </c>
    </row>
    <row r="10" spans="1:7" s="1048" customFormat="1" ht="26.25" customHeight="1">
      <c r="A10" s="1065" t="s">
        <v>949</v>
      </c>
      <c r="B10" s="1049">
        <v>60015</v>
      </c>
      <c r="C10" s="1052" t="s">
        <v>1494</v>
      </c>
      <c r="D10" s="1050">
        <v>60000</v>
      </c>
      <c r="E10" s="1053">
        <v>40000</v>
      </c>
      <c r="F10" s="1053">
        <f>D10-E10</f>
        <v>20000</v>
      </c>
      <c r="G10" s="1066">
        <f>E10*100/D10</f>
        <v>66.66666666666667</v>
      </c>
    </row>
    <row r="11" spans="1:7" s="1048" customFormat="1" ht="23.25" customHeight="1">
      <c r="A11" s="1065" t="s">
        <v>950</v>
      </c>
      <c r="B11" s="1049">
        <v>60015</v>
      </c>
      <c r="C11" s="1052" t="s">
        <v>1294</v>
      </c>
      <c r="D11" s="1050">
        <v>99630</v>
      </c>
      <c r="E11" s="1053">
        <v>0</v>
      </c>
      <c r="F11" s="1053">
        <f>D11-E11</f>
        <v>99630</v>
      </c>
      <c r="G11" s="1066">
        <f>E11*100/D11</f>
        <v>0</v>
      </c>
    </row>
    <row r="12" spans="1:7" s="1048" customFormat="1" ht="44.25" customHeight="1">
      <c r="A12" s="1065" t="s">
        <v>951</v>
      </c>
      <c r="B12" s="1049">
        <v>60015</v>
      </c>
      <c r="C12" s="1052" t="s">
        <v>1349</v>
      </c>
      <c r="D12" s="1050">
        <v>325424</v>
      </c>
      <c r="E12" s="1053">
        <v>0</v>
      </c>
      <c r="F12" s="1053">
        <f>D12-E12</f>
        <v>325424</v>
      </c>
      <c r="G12" s="1066">
        <f>E12*100/D12</f>
        <v>0</v>
      </c>
    </row>
    <row r="13" spans="1:7" s="1048" customFormat="1" ht="30" customHeight="1">
      <c r="A13" s="1065" t="s">
        <v>281</v>
      </c>
      <c r="B13" s="1049">
        <v>60015</v>
      </c>
      <c r="C13" s="1052" t="s">
        <v>1495</v>
      </c>
      <c r="D13" s="1050">
        <v>38603</v>
      </c>
      <c r="E13" s="1053">
        <v>0</v>
      </c>
      <c r="F13" s="1053">
        <f t="shared" si="0"/>
        <v>38603</v>
      </c>
      <c r="G13" s="1066">
        <f t="shared" si="1"/>
        <v>0</v>
      </c>
    </row>
    <row r="14" spans="1:8" ht="45" customHeight="1">
      <c r="A14" s="1065" t="s">
        <v>282</v>
      </c>
      <c r="B14" s="1049">
        <v>60015</v>
      </c>
      <c r="C14" s="1052" t="s">
        <v>1496</v>
      </c>
      <c r="D14" s="1050">
        <v>338251</v>
      </c>
      <c r="E14" s="1053">
        <v>0</v>
      </c>
      <c r="F14" s="1053">
        <f t="shared" si="0"/>
        <v>338251</v>
      </c>
      <c r="G14" s="1066">
        <f t="shared" si="1"/>
        <v>0</v>
      </c>
      <c r="H14" s="1056"/>
    </row>
    <row r="15" spans="1:8" ht="44.25" customHeight="1">
      <c r="A15" s="1065" t="s">
        <v>952</v>
      </c>
      <c r="B15" s="1049">
        <v>60015</v>
      </c>
      <c r="C15" s="1052" t="s">
        <v>1367</v>
      </c>
      <c r="D15" s="1050">
        <v>200123</v>
      </c>
      <c r="E15" s="1053">
        <v>47726</v>
      </c>
      <c r="F15" s="1053">
        <f t="shared" si="0"/>
        <v>152397</v>
      </c>
      <c r="G15" s="1066">
        <f t="shared" si="1"/>
        <v>23.848333275035852</v>
      </c>
      <c r="H15" s="1056"/>
    </row>
    <row r="16" spans="1:7" ht="24" customHeight="1">
      <c r="A16" s="1065" t="s">
        <v>954</v>
      </c>
      <c r="B16" s="1049">
        <v>60015</v>
      </c>
      <c r="C16" s="1055" t="s">
        <v>1223</v>
      </c>
      <c r="D16" s="1050">
        <v>76260</v>
      </c>
      <c r="E16" s="1053">
        <v>76260</v>
      </c>
      <c r="F16" s="1053">
        <f t="shared" si="0"/>
        <v>0</v>
      </c>
      <c r="G16" s="1066">
        <f t="shared" si="1"/>
        <v>100</v>
      </c>
    </row>
    <row r="17" spans="1:8" ht="42.75" customHeight="1">
      <c r="A17" s="1065" t="s">
        <v>283</v>
      </c>
      <c r="B17" s="1049">
        <v>60015</v>
      </c>
      <c r="C17" s="1052" t="s">
        <v>1497</v>
      </c>
      <c r="D17" s="1050">
        <v>41980</v>
      </c>
      <c r="E17" s="1053">
        <v>40691.02</v>
      </c>
      <c r="F17" s="1053">
        <f t="shared" si="0"/>
        <v>1288.9800000000032</v>
      </c>
      <c r="G17" s="1066">
        <f t="shared" si="1"/>
        <v>96.92953787517864</v>
      </c>
      <c r="H17" s="1056"/>
    </row>
    <row r="18" spans="1:7" ht="25.5">
      <c r="A18" s="1065" t="s">
        <v>955</v>
      </c>
      <c r="B18" s="1049">
        <v>60015</v>
      </c>
      <c r="C18" s="1052" t="s">
        <v>1498</v>
      </c>
      <c r="D18" s="1050">
        <v>152000</v>
      </c>
      <c r="E18" s="1053">
        <v>103353.83</v>
      </c>
      <c r="F18" s="1053">
        <f t="shared" si="0"/>
        <v>48646.17</v>
      </c>
      <c r="G18" s="1066">
        <f t="shared" si="1"/>
        <v>67.99594078947368</v>
      </c>
    </row>
    <row r="19" spans="1:7" ht="25.5">
      <c r="A19" s="1065" t="s">
        <v>956</v>
      </c>
      <c r="B19" s="1049">
        <v>60015</v>
      </c>
      <c r="C19" s="1052" t="s">
        <v>1499</v>
      </c>
      <c r="D19" s="1050">
        <v>120000</v>
      </c>
      <c r="E19" s="1053">
        <v>18450</v>
      </c>
      <c r="F19" s="1053">
        <f t="shared" si="0"/>
        <v>101550</v>
      </c>
      <c r="G19" s="1066">
        <f t="shared" si="1"/>
        <v>15.375</v>
      </c>
    </row>
    <row r="20" spans="1:7" ht="26.25" customHeight="1">
      <c r="A20" s="1065" t="s">
        <v>284</v>
      </c>
      <c r="B20" s="1049">
        <v>60016</v>
      </c>
      <c r="C20" s="1052" t="s">
        <v>1500</v>
      </c>
      <c r="D20" s="1050">
        <v>259530</v>
      </c>
      <c r="E20" s="1053">
        <v>0</v>
      </c>
      <c r="F20" s="1053">
        <f t="shared" si="0"/>
        <v>259530</v>
      </c>
      <c r="G20" s="1066">
        <f t="shared" si="1"/>
        <v>0</v>
      </c>
    </row>
    <row r="21" spans="1:7" ht="25.5">
      <c r="A21" s="1065" t="s">
        <v>957</v>
      </c>
      <c r="B21" s="1049">
        <v>60016</v>
      </c>
      <c r="C21" s="1052" t="s">
        <v>1501</v>
      </c>
      <c r="D21" s="1050">
        <v>6264</v>
      </c>
      <c r="E21" s="1053">
        <v>6264</v>
      </c>
      <c r="F21" s="1053">
        <f t="shared" si="0"/>
        <v>0</v>
      </c>
      <c r="G21" s="1066">
        <f t="shared" si="1"/>
        <v>100</v>
      </c>
    </row>
    <row r="22" spans="1:7" ht="29.25" customHeight="1">
      <c r="A22" s="1065" t="s">
        <v>958</v>
      </c>
      <c r="B22" s="1049">
        <v>60041</v>
      </c>
      <c r="C22" s="1052" t="s">
        <v>1502</v>
      </c>
      <c r="D22" s="1050">
        <v>70000</v>
      </c>
      <c r="E22" s="1053">
        <v>13860</v>
      </c>
      <c r="F22" s="1053">
        <f t="shared" si="0"/>
        <v>56140</v>
      </c>
      <c r="G22" s="1066">
        <f t="shared" si="1"/>
        <v>19.8</v>
      </c>
    </row>
    <row r="23" spans="1:7" ht="39.75" customHeight="1">
      <c r="A23" s="1065" t="s">
        <v>959</v>
      </c>
      <c r="B23" s="1049">
        <v>63095</v>
      </c>
      <c r="C23" s="1052" t="s">
        <v>1351</v>
      </c>
      <c r="D23" s="1050">
        <v>215250</v>
      </c>
      <c r="E23" s="1053">
        <v>92250</v>
      </c>
      <c r="F23" s="1053">
        <f t="shared" si="0"/>
        <v>123000</v>
      </c>
      <c r="G23" s="1066">
        <f t="shared" si="1"/>
        <v>42.857142857142854</v>
      </c>
    </row>
    <row r="24" spans="1:7" ht="21" customHeight="1">
      <c r="A24" s="1065" t="s">
        <v>960</v>
      </c>
      <c r="B24" s="1049">
        <v>70001</v>
      </c>
      <c r="C24" s="1052" t="s">
        <v>1503</v>
      </c>
      <c r="D24" s="1050">
        <v>346000</v>
      </c>
      <c r="E24" s="1053">
        <v>324240.24</v>
      </c>
      <c r="F24" s="1053">
        <f t="shared" si="0"/>
        <v>21759.76000000001</v>
      </c>
      <c r="G24" s="1066">
        <f t="shared" si="1"/>
        <v>93.71105202312138</v>
      </c>
    </row>
    <row r="25" spans="1:7" ht="30" customHeight="1">
      <c r="A25" s="1065" t="s">
        <v>966</v>
      </c>
      <c r="B25" s="1049">
        <v>71012</v>
      </c>
      <c r="C25" s="1052" t="s">
        <v>1504</v>
      </c>
      <c r="D25" s="1050">
        <v>9963</v>
      </c>
      <c r="E25" s="1053">
        <v>9963</v>
      </c>
      <c r="F25" s="1053">
        <f t="shared" si="0"/>
        <v>0</v>
      </c>
      <c r="G25" s="1066">
        <f t="shared" si="1"/>
        <v>100</v>
      </c>
    </row>
    <row r="26" spans="1:8" ht="48" customHeight="1">
      <c r="A26" s="1065" t="s">
        <v>967</v>
      </c>
      <c r="B26" s="1049">
        <v>71095</v>
      </c>
      <c r="C26" s="1052" t="s">
        <v>1505</v>
      </c>
      <c r="D26" s="1050">
        <v>302156</v>
      </c>
      <c r="E26" s="1053">
        <v>124230</v>
      </c>
      <c r="F26" s="1053">
        <f t="shared" si="0"/>
        <v>177926</v>
      </c>
      <c r="G26" s="1066">
        <f t="shared" si="1"/>
        <v>41.11452362355869</v>
      </c>
      <c r="H26" s="1056"/>
    </row>
    <row r="27" spans="1:7" ht="24" customHeight="1">
      <c r="A27" s="1065" t="s">
        <v>968</v>
      </c>
      <c r="B27" s="1049">
        <v>75095</v>
      </c>
      <c r="C27" s="1052" t="s">
        <v>1352</v>
      </c>
      <c r="D27" s="1051">
        <v>36654</v>
      </c>
      <c r="E27" s="1053">
        <v>36654</v>
      </c>
      <c r="F27" s="1053">
        <f t="shared" si="0"/>
        <v>0</v>
      </c>
      <c r="G27" s="1066">
        <f t="shared" si="1"/>
        <v>100</v>
      </c>
    </row>
    <row r="28" spans="1:8" ht="49.5" customHeight="1">
      <c r="A28" s="1065" t="s">
        <v>969</v>
      </c>
      <c r="B28" s="1049">
        <v>80130</v>
      </c>
      <c r="C28" s="1052" t="s">
        <v>1506</v>
      </c>
      <c r="D28" s="1051">
        <v>325701</v>
      </c>
      <c r="E28" s="1053">
        <v>325700.7</v>
      </c>
      <c r="F28" s="1053">
        <f t="shared" si="0"/>
        <v>0.29999999998835847</v>
      </c>
      <c r="G28" s="1066">
        <f t="shared" si="1"/>
        <v>99.99990789097977</v>
      </c>
      <c r="H28" s="1056"/>
    </row>
    <row r="29" spans="1:8" ht="27" customHeight="1">
      <c r="A29" s="1065" t="s">
        <v>788</v>
      </c>
      <c r="B29" s="1049">
        <v>80146</v>
      </c>
      <c r="C29" s="1055" t="s">
        <v>1594</v>
      </c>
      <c r="D29" s="1051">
        <v>9803</v>
      </c>
      <c r="E29" s="1360">
        <v>7000</v>
      </c>
      <c r="F29" s="1053">
        <f t="shared" si="0"/>
        <v>2803</v>
      </c>
      <c r="G29" s="1066">
        <f t="shared" si="1"/>
        <v>71.40671223094971</v>
      </c>
      <c r="H29" s="1353"/>
    </row>
    <row r="30" spans="1:8" ht="32.25" customHeight="1">
      <c r="A30" s="1065" t="s">
        <v>789</v>
      </c>
      <c r="B30" s="1049">
        <v>80195</v>
      </c>
      <c r="C30" s="1052" t="s">
        <v>1507</v>
      </c>
      <c r="D30" s="1051">
        <v>37962</v>
      </c>
      <c r="E30" s="1053">
        <v>26455.61</v>
      </c>
      <c r="F30" s="1053">
        <f t="shared" si="0"/>
        <v>11506.39</v>
      </c>
      <c r="G30" s="1066">
        <f t="shared" si="1"/>
        <v>69.68971603182129</v>
      </c>
      <c r="H30" s="1056"/>
    </row>
    <row r="31" spans="1:7" ht="49.5" customHeight="1">
      <c r="A31" s="1065" t="s">
        <v>790</v>
      </c>
      <c r="B31" s="1049">
        <v>85203</v>
      </c>
      <c r="C31" s="1052" t="s">
        <v>1508</v>
      </c>
      <c r="D31" s="1051">
        <v>22140</v>
      </c>
      <c r="E31" s="1053">
        <v>19680</v>
      </c>
      <c r="F31" s="1053">
        <f t="shared" si="0"/>
        <v>2460</v>
      </c>
      <c r="G31" s="1066">
        <f t="shared" si="1"/>
        <v>88.88888888888889</v>
      </c>
    </row>
    <row r="32" spans="1:7" ht="33.75" customHeight="1">
      <c r="A32" s="1065" t="s">
        <v>791</v>
      </c>
      <c r="B32" s="1049">
        <v>90015</v>
      </c>
      <c r="C32" s="1052" t="s">
        <v>1509</v>
      </c>
      <c r="D32" s="1051">
        <v>39600</v>
      </c>
      <c r="E32" s="1053">
        <v>39360</v>
      </c>
      <c r="F32" s="1053">
        <f t="shared" si="0"/>
        <v>240</v>
      </c>
      <c r="G32" s="1066">
        <f t="shared" si="1"/>
        <v>99.39393939393939</v>
      </c>
    </row>
    <row r="33" spans="1:7" ht="31.5" customHeight="1">
      <c r="A33" s="1065" t="s">
        <v>869</v>
      </c>
      <c r="B33" s="1049">
        <v>90095</v>
      </c>
      <c r="C33" s="1052" t="s">
        <v>1360</v>
      </c>
      <c r="D33" s="1051">
        <v>126690</v>
      </c>
      <c r="E33" s="1053">
        <v>0</v>
      </c>
      <c r="F33" s="1053">
        <f t="shared" si="0"/>
        <v>126690</v>
      </c>
      <c r="G33" s="1066">
        <f t="shared" si="1"/>
        <v>0</v>
      </c>
    </row>
    <row r="34" spans="1:7" ht="46.5" customHeight="1">
      <c r="A34" s="1065" t="s">
        <v>870</v>
      </c>
      <c r="B34" s="1049">
        <v>90095</v>
      </c>
      <c r="C34" s="1052" t="s">
        <v>1510</v>
      </c>
      <c r="D34" s="1051">
        <v>7380</v>
      </c>
      <c r="E34" s="1053">
        <v>7380</v>
      </c>
      <c r="F34" s="1053">
        <f t="shared" si="0"/>
        <v>0</v>
      </c>
      <c r="G34" s="1066">
        <f t="shared" si="1"/>
        <v>100</v>
      </c>
    </row>
    <row r="35" spans="1:7" ht="36.75" customHeight="1">
      <c r="A35" s="1065" t="s">
        <v>871</v>
      </c>
      <c r="B35" s="1049">
        <v>90095</v>
      </c>
      <c r="C35" s="1052" t="s">
        <v>1511</v>
      </c>
      <c r="D35" s="1051">
        <v>500000</v>
      </c>
      <c r="E35" s="1053">
        <v>450242.47</v>
      </c>
      <c r="F35" s="1053">
        <f t="shared" si="0"/>
        <v>49757.53000000003</v>
      </c>
      <c r="G35" s="1066">
        <f t="shared" si="1"/>
        <v>90.048494</v>
      </c>
    </row>
    <row r="36" spans="1:7" s="1057" customFormat="1" ht="23.25" customHeight="1" thickBot="1">
      <c r="A36" s="1613"/>
      <c r="B36" s="1614"/>
      <c r="C36" s="1614"/>
      <c r="D36" s="1067">
        <f>SUM(D7:D35)</f>
        <v>4227378</v>
      </c>
      <c r="E36" s="1134">
        <f>SUM(E7:E35)</f>
        <v>2262270.0700000003</v>
      </c>
      <c r="F36" s="1134">
        <f>SUM(F7:F35)</f>
        <v>1965107.9300000002</v>
      </c>
      <c r="G36" s="1073">
        <f t="shared" si="1"/>
        <v>53.51473348255113</v>
      </c>
    </row>
    <row r="37" spans="1:7" ht="38.25" customHeight="1">
      <c r="A37" s="1040" t="s">
        <v>1595</v>
      </c>
      <c r="B37" s="1615" t="s">
        <v>1596</v>
      </c>
      <c r="C37" s="1616"/>
      <c r="D37" s="1616"/>
      <c r="E37" s="1616"/>
      <c r="F37" s="1616"/>
      <c r="G37" s="1616"/>
    </row>
  </sheetData>
  <sheetProtection password="CF53" sheet="1" formatCells="0" formatColumns="0" formatRows="0" insertColumns="0" insertRows="0" insertHyperlinks="0" deleteColumns="0" deleteRows="0" sort="0" autoFilter="0" pivotTables="0"/>
  <mergeCells count="4">
    <mergeCell ref="E2:F2"/>
    <mergeCell ref="A3:G3"/>
    <mergeCell ref="A36:C36"/>
    <mergeCell ref="B37:G37"/>
  </mergeCells>
  <printOptions horizontalCentered="1"/>
  <pageMargins left="0.2362204724409449" right="0.2362204724409449" top="0.7480314960629921" bottom="0.7480314960629921" header="0.31496062992125984" footer="0.31496062992125984"/>
  <pageSetup firstPageNumber="86" useFirstPageNumber="1" horizontalDpi="600" verticalDpi="600" orientation="portrait" paperSize="9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G58"/>
  <sheetViews>
    <sheetView view="pageBreakPreview" zoomScale="142" zoomScaleSheetLayoutView="142" zoomScalePageLayoutView="0" workbookViewId="0" topLeftCell="A39">
      <selection activeCell="C54" sqref="C54"/>
    </sheetView>
  </sheetViews>
  <sheetFormatPr defaultColWidth="9.00390625" defaultRowHeight="12.75"/>
  <cols>
    <col min="1" max="1" width="3.625" style="82" customWidth="1"/>
    <col min="2" max="2" width="4.375" style="82" customWidth="1"/>
    <col min="3" max="3" width="48.00390625" style="82" customWidth="1"/>
    <col min="4" max="4" width="12.625" style="82" customWidth="1"/>
    <col min="5" max="5" width="12.25390625" style="82" customWidth="1"/>
    <col min="6" max="6" width="6.25390625" style="82" customWidth="1"/>
    <col min="7" max="16384" width="9.125" style="82" customWidth="1"/>
  </cols>
  <sheetData>
    <row r="1" spans="5:6" ht="12" customHeight="1">
      <c r="E1" s="1617" t="s">
        <v>152</v>
      </c>
      <c r="F1" s="1617"/>
    </row>
    <row r="2" s="2" customFormat="1" ht="12.75"/>
    <row r="3" spans="1:6" s="2" customFormat="1" ht="12.75">
      <c r="A3" s="1443" t="s">
        <v>1128</v>
      </c>
      <c r="B3" s="1443"/>
      <c r="C3" s="1443"/>
      <c r="D3" s="1443"/>
      <c r="E3" s="1443"/>
      <c r="F3" s="1443"/>
    </row>
    <row r="4" spans="1:6" s="2" customFormat="1" ht="12.75">
      <c r="A4" s="1"/>
      <c r="B4" s="1"/>
      <c r="C4" s="1"/>
      <c r="D4" s="1"/>
      <c r="E4" s="1"/>
      <c r="F4" s="1"/>
    </row>
    <row r="5" spans="1:6" s="3" customFormat="1" ht="12.75" customHeight="1" thickBot="1">
      <c r="A5" s="1618" t="s">
        <v>1129</v>
      </c>
      <c r="B5" s="1618"/>
      <c r="C5" s="1618"/>
      <c r="F5" s="246" t="s">
        <v>169</v>
      </c>
    </row>
    <row r="6" spans="1:6" s="1" customFormat="1" ht="12.75">
      <c r="A6" s="771" t="s">
        <v>823</v>
      </c>
      <c r="B6" s="773" t="s">
        <v>127</v>
      </c>
      <c r="C6" s="773" t="s">
        <v>171</v>
      </c>
      <c r="D6" s="774" t="s">
        <v>172</v>
      </c>
      <c r="E6" s="774" t="s">
        <v>173</v>
      </c>
      <c r="F6" s="803" t="s">
        <v>559</v>
      </c>
    </row>
    <row r="7" spans="1:6" s="808" customFormat="1" ht="12.75" customHeight="1" thickBot="1">
      <c r="A7" s="804">
        <v>1</v>
      </c>
      <c r="B7" s="805">
        <v>2</v>
      </c>
      <c r="C7" s="805">
        <v>3</v>
      </c>
      <c r="D7" s="806">
        <v>4</v>
      </c>
      <c r="E7" s="806">
        <v>5</v>
      </c>
      <c r="F7" s="807">
        <v>6</v>
      </c>
    </row>
    <row r="8" spans="1:6" s="3" customFormat="1" ht="27.75" customHeight="1">
      <c r="A8" s="352" t="s">
        <v>560</v>
      </c>
      <c r="B8" s="353"/>
      <c r="C8" s="809" t="s">
        <v>472</v>
      </c>
      <c r="D8" s="354">
        <v>154246</v>
      </c>
      <c r="E8" s="354">
        <v>154245.58</v>
      </c>
      <c r="F8" s="810" t="s">
        <v>831</v>
      </c>
    </row>
    <row r="9" spans="1:6" s="3" customFormat="1" ht="18.75" customHeight="1">
      <c r="A9" s="690" t="s">
        <v>561</v>
      </c>
      <c r="B9" s="811"/>
      <c r="C9" s="811" t="s">
        <v>815</v>
      </c>
      <c r="D9" s="223">
        <f>SUM(D10,D11,D12,D13,D14,D15,D16)</f>
        <v>12091254</v>
      </c>
      <c r="E9" s="223">
        <f>SUM(E10,E11,E12,E13,E14,E15,E16)</f>
        <v>5855345.14</v>
      </c>
      <c r="F9" s="812">
        <f aca="true" t="shared" si="0" ref="F9:F53">E9/D9*100</f>
        <v>48.42628514792593</v>
      </c>
    </row>
    <row r="10" spans="1:6" s="2" customFormat="1" ht="18.75" customHeight="1">
      <c r="A10" s="365" t="s">
        <v>826</v>
      </c>
      <c r="B10" s="570" t="s">
        <v>678</v>
      </c>
      <c r="C10" s="585" t="s">
        <v>562</v>
      </c>
      <c r="D10" s="364">
        <v>9038754</v>
      </c>
      <c r="E10" s="364">
        <v>4326365.38</v>
      </c>
      <c r="F10" s="813">
        <f t="shared" si="0"/>
        <v>47.864621384761655</v>
      </c>
    </row>
    <row r="11" spans="1:6" s="2" customFormat="1" ht="18.75" customHeight="1">
      <c r="A11" s="365" t="s">
        <v>827</v>
      </c>
      <c r="B11" s="570" t="s">
        <v>679</v>
      </c>
      <c r="C11" s="585" t="s">
        <v>1377</v>
      </c>
      <c r="D11" s="364">
        <v>350000</v>
      </c>
      <c r="E11" s="364">
        <v>99172.32</v>
      </c>
      <c r="F11" s="813">
        <f t="shared" si="0"/>
        <v>28.334948571428576</v>
      </c>
    </row>
    <row r="12" spans="1:6" s="2" customFormat="1" ht="18.75" customHeight="1">
      <c r="A12" s="365" t="s">
        <v>942</v>
      </c>
      <c r="B12" s="570" t="s">
        <v>680</v>
      </c>
      <c r="C12" s="585" t="s">
        <v>770</v>
      </c>
      <c r="D12" s="364">
        <v>310000</v>
      </c>
      <c r="E12" s="364">
        <v>364118.35</v>
      </c>
      <c r="F12" s="813">
        <f t="shared" si="0"/>
        <v>117.4575322580645</v>
      </c>
    </row>
    <row r="13" spans="1:6" s="2" customFormat="1" ht="27" customHeight="1">
      <c r="A13" s="365" t="s">
        <v>949</v>
      </c>
      <c r="B13" s="570" t="s">
        <v>563</v>
      </c>
      <c r="C13" s="594" t="s">
        <v>1226</v>
      </c>
      <c r="D13" s="364">
        <v>892500</v>
      </c>
      <c r="E13" s="364">
        <v>479000</v>
      </c>
      <c r="F13" s="813">
        <f t="shared" si="0"/>
        <v>53.66946778711485</v>
      </c>
    </row>
    <row r="14" spans="1:6" s="2" customFormat="1" ht="54" customHeight="1" hidden="1">
      <c r="A14" s="365" t="s">
        <v>950</v>
      </c>
      <c r="B14" s="570" t="s">
        <v>1227</v>
      </c>
      <c r="C14" s="594" t="s">
        <v>1244</v>
      </c>
      <c r="D14" s="364">
        <v>0</v>
      </c>
      <c r="E14" s="364">
        <v>0</v>
      </c>
      <c r="F14" s="813" t="e">
        <f t="shared" si="0"/>
        <v>#DIV/0!</v>
      </c>
    </row>
    <row r="15" spans="1:6" s="2" customFormat="1" ht="21" customHeight="1" thickBot="1">
      <c r="A15" s="365" t="s">
        <v>950</v>
      </c>
      <c r="B15" s="570"/>
      <c r="C15" s="594" t="s">
        <v>564</v>
      </c>
      <c r="D15" s="364">
        <v>1500000</v>
      </c>
      <c r="E15" s="364">
        <v>586689.09</v>
      </c>
      <c r="F15" s="813">
        <f t="shared" si="0"/>
        <v>39.112606</v>
      </c>
    </row>
    <row r="16" spans="1:6" s="2" customFormat="1" ht="18.75" customHeight="1" hidden="1" thickBot="1">
      <c r="A16" s="365" t="s">
        <v>951</v>
      </c>
      <c r="B16" s="570"/>
      <c r="C16" s="585" t="s">
        <v>642</v>
      </c>
      <c r="D16" s="364">
        <v>0</v>
      </c>
      <c r="E16" s="364">
        <v>0</v>
      </c>
      <c r="F16" s="814" t="s">
        <v>799</v>
      </c>
    </row>
    <row r="17" spans="1:6" s="3" customFormat="1" ht="18" customHeight="1" thickBot="1">
      <c r="A17" s="1619" t="s">
        <v>565</v>
      </c>
      <c r="B17" s="1620"/>
      <c r="C17" s="1620"/>
      <c r="D17" s="815">
        <f>D9+D8</f>
        <v>12245500</v>
      </c>
      <c r="E17" s="815">
        <f>E9+E8</f>
        <v>6009590.72</v>
      </c>
      <c r="F17" s="816">
        <f t="shared" si="0"/>
        <v>49.075911314360376</v>
      </c>
    </row>
    <row r="18" spans="1:6" s="3" customFormat="1" ht="18" customHeight="1">
      <c r="A18" s="690" t="s">
        <v>567</v>
      </c>
      <c r="B18" s="811"/>
      <c r="C18" s="811" t="s">
        <v>568</v>
      </c>
      <c r="D18" s="223">
        <f>SUM(D19:D53)</f>
        <v>11793000</v>
      </c>
      <c r="E18" s="223">
        <f>SUM(E19:E53)</f>
        <v>5244935.83</v>
      </c>
      <c r="F18" s="812">
        <f t="shared" si="0"/>
        <v>44.474992198761974</v>
      </c>
    </row>
    <row r="19" spans="1:6" s="2" customFormat="1" ht="18.75" customHeight="1">
      <c r="A19" s="817" t="s">
        <v>826</v>
      </c>
      <c r="B19" s="818">
        <v>3020</v>
      </c>
      <c r="C19" s="594" t="s">
        <v>569</v>
      </c>
      <c r="D19" s="392">
        <v>35000</v>
      </c>
      <c r="E19" s="364">
        <v>22869.12</v>
      </c>
      <c r="F19" s="819">
        <f t="shared" si="0"/>
        <v>65.34034285714286</v>
      </c>
    </row>
    <row r="20" spans="1:7" s="2" customFormat="1" ht="18.75" customHeight="1">
      <c r="A20" s="817" t="s">
        <v>827</v>
      </c>
      <c r="B20" s="818">
        <v>4010</v>
      </c>
      <c r="C20" s="594" t="s">
        <v>570</v>
      </c>
      <c r="D20" s="364">
        <v>1925000</v>
      </c>
      <c r="E20" s="364">
        <v>829773.68</v>
      </c>
      <c r="F20" s="813">
        <f t="shared" si="0"/>
        <v>43.10512623376624</v>
      </c>
      <c r="G20" s="263"/>
    </row>
    <row r="21" spans="1:6" s="2" customFormat="1" ht="18.75" customHeight="1">
      <c r="A21" s="817" t="s">
        <v>942</v>
      </c>
      <c r="B21" s="818">
        <v>4040</v>
      </c>
      <c r="C21" s="594" t="s">
        <v>571</v>
      </c>
      <c r="D21" s="364">
        <v>130000</v>
      </c>
      <c r="E21" s="364">
        <v>0</v>
      </c>
      <c r="F21" s="813">
        <f t="shared" si="0"/>
        <v>0</v>
      </c>
    </row>
    <row r="22" spans="1:6" s="2" customFormat="1" ht="18.75" customHeight="1">
      <c r="A22" s="817" t="s">
        <v>949</v>
      </c>
      <c r="B22" s="818">
        <v>4110</v>
      </c>
      <c r="C22" s="594" t="s">
        <v>1001</v>
      </c>
      <c r="D22" s="364">
        <v>295000</v>
      </c>
      <c r="E22" s="364">
        <v>136212.41</v>
      </c>
      <c r="F22" s="813">
        <f t="shared" si="0"/>
        <v>46.17369830508475</v>
      </c>
    </row>
    <row r="23" spans="1:6" s="2" customFormat="1" ht="18.75" customHeight="1">
      <c r="A23" s="817" t="s">
        <v>950</v>
      </c>
      <c r="B23" s="818">
        <v>4120</v>
      </c>
      <c r="C23" s="594" t="s">
        <v>1002</v>
      </c>
      <c r="D23" s="364">
        <v>25000</v>
      </c>
      <c r="E23" s="364">
        <v>12371.62</v>
      </c>
      <c r="F23" s="813">
        <f t="shared" si="0"/>
        <v>49.48648000000001</v>
      </c>
    </row>
    <row r="24" spans="1:6" s="2" customFormat="1" ht="30" customHeight="1">
      <c r="A24" s="817" t="s">
        <v>951</v>
      </c>
      <c r="B24" s="818">
        <v>4140</v>
      </c>
      <c r="C24" s="594" t="s">
        <v>898</v>
      </c>
      <c r="D24" s="364">
        <v>8000</v>
      </c>
      <c r="E24" s="364">
        <v>3616</v>
      </c>
      <c r="F24" s="813">
        <f t="shared" si="0"/>
        <v>45.2</v>
      </c>
    </row>
    <row r="25" spans="1:6" s="2" customFormat="1" ht="18.75" customHeight="1">
      <c r="A25" s="817" t="s">
        <v>281</v>
      </c>
      <c r="B25" s="818">
        <v>4170</v>
      </c>
      <c r="C25" s="594" t="s">
        <v>1003</v>
      </c>
      <c r="D25" s="364">
        <v>40000</v>
      </c>
      <c r="E25" s="364">
        <v>9119</v>
      </c>
      <c r="F25" s="813">
        <f t="shared" si="0"/>
        <v>22.7975</v>
      </c>
    </row>
    <row r="26" spans="1:6" s="2" customFormat="1" ht="18.75" customHeight="1">
      <c r="A26" s="817" t="s">
        <v>282</v>
      </c>
      <c r="B26" s="818">
        <v>4210</v>
      </c>
      <c r="C26" s="594" t="s">
        <v>1004</v>
      </c>
      <c r="D26" s="364">
        <v>200000</v>
      </c>
      <c r="E26" s="364">
        <v>85150.76</v>
      </c>
      <c r="F26" s="813">
        <f t="shared" si="0"/>
        <v>42.575379999999996</v>
      </c>
    </row>
    <row r="27" spans="1:6" s="2" customFormat="1" ht="18.75" customHeight="1">
      <c r="A27" s="817" t="s">
        <v>952</v>
      </c>
      <c r="B27" s="818">
        <v>4260</v>
      </c>
      <c r="C27" s="594" t="s">
        <v>1005</v>
      </c>
      <c r="D27" s="364">
        <v>1720000</v>
      </c>
      <c r="E27" s="364">
        <v>816361.22</v>
      </c>
      <c r="F27" s="813">
        <f t="shared" si="0"/>
        <v>47.462861627906975</v>
      </c>
    </row>
    <row r="28" spans="1:6" s="2" customFormat="1" ht="18.75" customHeight="1">
      <c r="A28" s="817" t="s">
        <v>954</v>
      </c>
      <c r="B28" s="818">
        <v>4270</v>
      </c>
      <c r="C28" s="594" t="s">
        <v>1006</v>
      </c>
      <c r="D28" s="364">
        <v>2154000</v>
      </c>
      <c r="E28" s="364">
        <v>666516.3</v>
      </c>
      <c r="F28" s="813">
        <f t="shared" si="0"/>
        <v>30.943189415041783</v>
      </c>
    </row>
    <row r="29" spans="1:6" s="2" customFormat="1" ht="18.75" customHeight="1">
      <c r="A29" s="817" t="s">
        <v>283</v>
      </c>
      <c r="B29" s="818">
        <v>4280</v>
      </c>
      <c r="C29" s="594" t="s">
        <v>896</v>
      </c>
      <c r="D29" s="364">
        <v>3000</v>
      </c>
      <c r="E29" s="364">
        <v>1470</v>
      </c>
      <c r="F29" s="813">
        <f t="shared" si="0"/>
        <v>49</v>
      </c>
    </row>
    <row r="30" spans="1:6" s="2" customFormat="1" ht="18.75" customHeight="1">
      <c r="A30" s="817" t="s">
        <v>955</v>
      </c>
      <c r="B30" s="818">
        <v>4300</v>
      </c>
      <c r="C30" s="594" t="s">
        <v>1012</v>
      </c>
      <c r="D30" s="364">
        <v>2360000</v>
      </c>
      <c r="E30" s="364">
        <v>1329420.51</v>
      </c>
      <c r="F30" s="813">
        <f t="shared" si="0"/>
        <v>56.331377542372884</v>
      </c>
    </row>
    <row r="31" spans="1:6" s="2" customFormat="1" ht="18.75" customHeight="1">
      <c r="A31" s="817" t="s">
        <v>956</v>
      </c>
      <c r="B31" s="818">
        <v>4360</v>
      </c>
      <c r="C31" s="820" t="s">
        <v>1409</v>
      </c>
      <c r="D31" s="364">
        <v>10000</v>
      </c>
      <c r="E31" s="364">
        <v>3571.63</v>
      </c>
      <c r="F31" s="813">
        <f t="shared" si="0"/>
        <v>35.716300000000004</v>
      </c>
    </row>
    <row r="32" spans="1:6" s="2" customFormat="1" ht="19.5" customHeight="1">
      <c r="A32" s="817" t="s">
        <v>284</v>
      </c>
      <c r="B32" s="818">
        <v>4390</v>
      </c>
      <c r="C32" s="820" t="s">
        <v>899</v>
      </c>
      <c r="D32" s="364">
        <v>20000</v>
      </c>
      <c r="E32" s="364">
        <v>0</v>
      </c>
      <c r="F32" s="813">
        <f t="shared" si="0"/>
        <v>0</v>
      </c>
    </row>
    <row r="33" spans="1:6" s="2" customFormat="1" ht="30" customHeight="1">
      <c r="A33" s="817" t="s">
        <v>957</v>
      </c>
      <c r="B33" s="818">
        <v>4400</v>
      </c>
      <c r="C33" s="820" t="s">
        <v>1013</v>
      </c>
      <c r="D33" s="364">
        <v>5000</v>
      </c>
      <c r="E33" s="364">
        <v>1852.17</v>
      </c>
      <c r="F33" s="813">
        <f t="shared" si="0"/>
        <v>37.043400000000005</v>
      </c>
    </row>
    <row r="34" spans="1:6" s="2" customFormat="1" ht="18.75" customHeight="1">
      <c r="A34" s="817" t="s">
        <v>958</v>
      </c>
      <c r="B34" s="818">
        <v>4410</v>
      </c>
      <c r="C34" s="594" t="s">
        <v>1014</v>
      </c>
      <c r="D34" s="364">
        <v>5000</v>
      </c>
      <c r="E34" s="364">
        <v>2120.56</v>
      </c>
      <c r="F34" s="813">
        <f t="shared" si="0"/>
        <v>42.4112</v>
      </c>
    </row>
    <row r="35" spans="1:6" s="2" customFormat="1" ht="18.75" customHeight="1">
      <c r="A35" s="817" t="s">
        <v>959</v>
      </c>
      <c r="B35" s="818">
        <v>4430</v>
      </c>
      <c r="C35" s="594" t="s">
        <v>1015</v>
      </c>
      <c r="D35" s="364">
        <v>55000</v>
      </c>
      <c r="E35" s="364">
        <v>53541.63</v>
      </c>
      <c r="F35" s="813">
        <f t="shared" si="0"/>
        <v>97.34841818181818</v>
      </c>
    </row>
    <row r="36" spans="1:6" s="2" customFormat="1" ht="18.75" customHeight="1">
      <c r="A36" s="817" t="s">
        <v>960</v>
      </c>
      <c r="B36" s="818">
        <v>4440</v>
      </c>
      <c r="C36" s="594" t="s">
        <v>1016</v>
      </c>
      <c r="D36" s="364">
        <v>55000</v>
      </c>
      <c r="E36" s="364">
        <v>27418.38</v>
      </c>
      <c r="F36" s="813">
        <f t="shared" si="0"/>
        <v>49.851600000000005</v>
      </c>
    </row>
    <row r="37" spans="1:6" s="2" customFormat="1" ht="18.75" customHeight="1">
      <c r="A37" s="817" t="s">
        <v>966</v>
      </c>
      <c r="B37" s="818">
        <v>4480</v>
      </c>
      <c r="C37" s="594" t="s">
        <v>781</v>
      </c>
      <c r="D37" s="364">
        <v>510000</v>
      </c>
      <c r="E37" s="364">
        <v>237117</v>
      </c>
      <c r="F37" s="813">
        <f t="shared" si="0"/>
        <v>46.493529411764705</v>
      </c>
    </row>
    <row r="38" spans="1:6" ht="28.5" customHeight="1" hidden="1">
      <c r="A38" s="125" t="s">
        <v>968</v>
      </c>
      <c r="B38" s="126">
        <v>4500</v>
      </c>
      <c r="C38" s="117" t="s">
        <v>360</v>
      </c>
      <c r="D38" s="86"/>
      <c r="E38" s="86"/>
      <c r="F38" s="123" t="e">
        <f t="shared" si="0"/>
        <v>#DIV/0!</v>
      </c>
    </row>
    <row r="39" spans="1:6" s="2" customFormat="1" ht="23.25" customHeight="1">
      <c r="A39" s="817" t="s">
        <v>967</v>
      </c>
      <c r="B39" s="818">
        <v>4510</v>
      </c>
      <c r="C39" s="594" t="s">
        <v>32</v>
      </c>
      <c r="D39" s="364">
        <v>30000</v>
      </c>
      <c r="E39" s="364">
        <v>22422</v>
      </c>
      <c r="F39" s="813">
        <f t="shared" si="0"/>
        <v>74.74</v>
      </c>
    </row>
    <row r="40" spans="1:6" s="2" customFormat="1" ht="23.25" customHeight="1">
      <c r="A40" s="817" t="s">
        <v>968</v>
      </c>
      <c r="B40" s="818">
        <v>4520</v>
      </c>
      <c r="C40" s="594" t="s">
        <v>901</v>
      </c>
      <c r="D40" s="364">
        <v>530000</v>
      </c>
      <c r="E40" s="364">
        <v>268134.97</v>
      </c>
      <c r="F40" s="813">
        <f t="shared" si="0"/>
        <v>50.591503773584904</v>
      </c>
    </row>
    <row r="41" spans="1:6" s="2" customFormat="1" ht="23.25" customHeight="1" hidden="1">
      <c r="A41" s="817" t="s">
        <v>788</v>
      </c>
      <c r="B41" s="818">
        <v>4530</v>
      </c>
      <c r="C41" s="594" t="s">
        <v>1125</v>
      </c>
      <c r="D41" s="364"/>
      <c r="E41" s="364"/>
      <c r="F41" s="813" t="e">
        <f t="shared" si="0"/>
        <v>#DIV/0!</v>
      </c>
    </row>
    <row r="42" spans="1:6" s="2" customFormat="1" ht="27.75" customHeight="1">
      <c r="A42" s="817" t="s">
        <v>969</v>
      </c>
      <c r="B42" s="818">
        <v>4570</v>
      </c>
      <c r="C42" s="594" t="s">
        <v>1017</v>
      </c>
      <c r="D42" s="364">
        <v>1000</v>
      </c>
      <c r="E42" s="364">
        <v>1.13</v>
      </c>
      <c r="F42" s="813">
        <f t="shared" si="0"/>
        <v>0.11299999999999999</v>
      </c>
    </row>
    <row r="43" spans="1:6" s="2" customFormat="1" ht="18" customHeight="1">
      <c r="A43" s="817" t="s">
        <v>788</v>
      </c>
      <c r="B43" s="818">
        <v>4580</v>
      </c>
      <c r="C43" s="594" t="s">
        <v>771</v>
      </c>
      <c r="D43" s="364">
        <v>1000</v>
      </c>
      <c r="E43" s="364">
        <v>26.15</v>
      </c>
      <c r="F43" s="813">
        <f t="shared" si="0"/>
        <v>2.6149999999999998</v>
      </c>
    </row>
    <row r="44" spans="1:6" ht="18" customHeight="1" hidden="1">
      <c r="A44" s="125" t="s">
        <v>790</v>
      </c>
      <c r="B44" s="126">
        <v>4590</v>
      </c>
      <c r="C44" s="117" t="s">
        <v>1018</v>
      </c>
      <c r="D44" s="86"/>
      <c r="E44" s="86"/>
      <c r="F44" s="123" t="e">
        <f t="shared" si="0"/>
        <v>#DIV/0!</v>
      </c>
    </row>
    <row r="45" spans="1:6" s="2" customFormat="1" ht="30" customHeight="1">
      <c r="A45" s="817" t="s">
        <v>789</v>
      </c>
      <c r="B45" s="818">
        <v>4600</v>
      </c>
      <c r="C45" s="594" t="s">
        <v>140</v>
      </c>
      <c r="D45" s="364">
        <v>1000</v>
      </c>
      <c r="E45" s="364">
        <v>0</v>
      </c>
      <c r="F45" s="813">
        <f t="shared" si="0"/>
        <v>0</v>
      </c>
    </row>
    <row r="46" spans="1:6" s="2" customFormat="1" ht="19.5" customHeight="1">
      <c r="A46" s="817" t="s">
        <v>790</v>
      </c>
      <c r="B46" s="818">
        <v>4610</v>
      </c>
      <c r="C46" s="594" t="s">
        <v>616</v>
      </c>
      <c r="D46" s="364">
        <v>110000</v>
      </c>
      <c r="E46" s="364">
        <v>36389.04</v>
      </c>
      <c r="F46" s="813">
        <f t="shared" si="0"/>
        <v>33.08094545454546</v>
      </c>
    </row>
    <row r="47" spans="1:6" s="2" customFormat="1" ht="26.25" customHeight="1">
      <c r="A47" s="817" t="s">
        <v>791</v>
      </c>
      <c r="B47" s="818">
        <v>4700</v>
      </c>
      <c r="C47" s="594" t="s">
        <v>1019</v>
      </c>
      <c r="D47" s="364">
        <v>15000</v>
      </c>
      <c r="E47" s="364">
        <v>7995.03</v>
      </c>
      <c r="F47" s="813">
        <f t="shared" si="0"/>
        <v>53.3002</v>
      </c>
    </row>
    <row r="48" spans="1:6" ht="28.5" customHeight="1" hidden="1">
      <c r="A48" s="125" t="s">
        <v>871</v>
      </c>
      <c r="B48" s="126">
        <v>4740</v>
      </c>
      <c r="C48" s="117" t="s">
        <v>1020</v>
      </c>
      <c r="D48" s="86">
        <v>0</v>
      </c>
      <c r="E48" s="86">
        <v>0</v>
      </c>
      <c r="F48" s="123" t="e">
        <f t="shared" si="0"/>
        <v>#DIV/0!</v>
      </c>
    </row>
    <row r="49" spans="1:6" ht="19.5" customHeight="1" hidden="1">
      <c r="A49" s="125" t="s">
        <v>340</v>
      </c>
      <c r="B49" s="126">
        <v>4750</v>
      </c>
      <c r="C49" s="117" t="s">
        <v>1022</v>
      </c>
      <c r="D49" s="86">
        <v>0</v>
      </c>
      <c r="E49" s="86">
        <v>0</v>
      </c>
      <c r="F49" s="123" t="e">
        <f t="shared" si="0"/>
        <v>#DIV/0!</v>
      </c>
    </row>
    <row r="50" spans="1:6" s="2" customFormat="1" ht="19.5" customHeight="1" hidden="1">
      <c r="A50" s="817" t="s">
        <v>869</v>
      </c>
      <c r="B50" s="818">
        <v>6070</v>
      </c>
      <c r="C50" s="594" t="s">
        <v>484</v>
      </c>
      <c r="D50" s="364">
        <v>0</v>
      </c>
      <c r="E50" s="364">
        <v>0</v>
      </c>
      <c r="F50" s="813" t="e">
        <f t="shared" si="0"/>
        <v>#DIV/0!</v>
      </c>
    </row>
    <row r="51" spans="1:6" s="2" customFormat="1" ht="27" customHeight="1">
      <c r="A51" s="817" t="s">
        <v>869</v>
      </c>
      <c r="B51" s="818">
        <v>6080</v>
      </c>
      <c r="C51" s="594" t="s">
        <v>1228</v>
      </c>
      <c r="D51" s="364">
        <v>50000</v>
      </c>
      <c r="E51" s="364">
        <v>5358</v>
      </c>
      <c r="F51" s="813">
        <f t="shared" si="0"/>
        <v>10.716000000000001</v>
      </c>
    </row>
    <row r="52" spans="1:6" s="2" customFormat="1" ht="18" customHeight="1">
      <c r="A52" s="821" t="s">
        <v>870</v>
      </c>
      <c r="B52" s="822"/>
      <c r="C52" s="594" t="s">
        <v>1023</v>
      </c>
      <c r="D52" s="364">
        <v>1500000</v>
      </c>
      <c r="E52" s="364">
        <v>586689.09</v>
      </c>
      <c r="F52" s="813">
        <f t="shared" si="0"/>
        <v>39.112606</v>
      </c>
    </row>
    <row r="53" spans="1:6" s="2" customFormat="1" ht="19.5" customHeight="1">
      <c r="A53" s="258" t="s">
        <v>871</v>
      </c>
      <c r="B53" s="823"/>
      <c r="C53" s="824" t="s">
        <v>1024</v>
      </c>
      <c r="D53" s="825">
        <v>0</v>
      </c>
      <c r="E53" s="825">
        <v>79418.43</v>
      </c>
      <c r="F53" s="813" t="e">
        <f t="shared" si="0"/>
        <v>#DIV/0!</v>
      </c>
    </row>
    <row r="54" spans="1:6" s="3" customFormat="1" ht="19.5" customHeight="1">
      <c r="A54" s="826" t="s">
        <v>1025</v>
      </c>
      <c r="B54" s="827"/>
      <c r="C54" s="828" t="s">
        <v>800</v>
      </c>
      <c r="D54" s="829">
        <v>50000</v>
      </c>
      <c r="E54" s="829">
        <v>37767</v>
      </c>
      <c r="F54" s="830" t="s">
        <v>831</v>
      </c>
    </row>
    <row r="55" spans="1:6" s="3" customFormat="1" ht="19.5" customHeight="1">
      <c r="A55" s="826" t="s">
        <v>903</v>
      </c>
      <c r="B55" s="827"/>
      <c r="C55" s="828" t="s">
        <v>902</v>
      </c>
      <c r="D55" s="829">
        <v>0</v>
      </c>
      <c r="E55" s="829">
        <v>0</v>
      </c>
      <c r="F55" s="830" t="s">
        <v>831</v>
      </c>
    </row>
    <row r="56" spans="1:6" s="3" customFormat="1" ht="25.5" customHeight="1" thickBot="1">
      <c r="A56" s="831" t="s">
        <v>160</v>
      </c>
      <c r="B56" s="832"/>
      <c r="C56" s="833" t="s">
        <v>473</v>
      </c>
      <c r="D56" s="834">
        <f>D8+D9-D18-D54-D55</f>
        <v>402500</v>
      </c>
      <c r="E56" s="834">
        <f>E8+E9-E18-E54-E55</f>
        <v>726887.8899999997</v>
      </c>
      <c r="F56" s="835" t="s">
        <v>831</v>
      </c>
    </row>
    <row r="57" spans="1:6" s="2" customFormat="1" ht="18" customHeight="1" thickBot="1">
      <c r="A57" s="1621" t="s">
        <v>161</v>
      </c>
      <c r="B57" s="1622"/>
      <c r="C57" s="1623"/>
      <c r="D57" s="815">
        <f>D18+D54+D55+D56</f>
        <v>12245500</v>
      </c>
      <c r="E57" s="815">
        <f>E18+E54+E55+E56</f>
        <v>6009590.72</v>
      </c>
      <c r="F57" s="816">
        <f>E57/D57*100</f>
        <v>49.075911314360376</v>
      </c>
    </row>
    <row r="58" spans="3:5" ht="12.75" hidden="1">
      <c r="C58" s="97" t="s">
        <v>76</v>
      </c>
      <c r="D58" s="91">
        <f>D17-D57</f>
        <v>0</v>
      </c>
      <c r="E58" s="91">
        <f>E17-E57</f>
        <v>0</v>
      </c>
    </row>
  </sheetData>
  <sheetProtection password="CF53" sheet="1" formatCells="0" formatColumns="0" formatRows="0" insertColumns="0" insertRows="0" insertHyperlinks="0" deleteColumns="0" deleteRows="0" sort="0" autoFilter="0" pivotTables="0"/>
  <mergeCells count="5">
    <mergeCell ref="E1:F1"/>
    <mergeCell ref="A3:F3"/>
    <mergeCell ref="A5:C5"/>
    <mergeCell ref="A17:C17"/>
    <mergeCell ref="A57:C57"/>
  </mergeCells>
  <printOptions/>
  <pageMargins left="0.7874015748031497" right="0.7874015748031497" top="0.984251968503937" bottom="0.984251968503937" header="0.5118110236220472" footer="0.5118110236220472"/>
  <pageSetup firstPageNumber="88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20"/>
  <sheetViews>
    <sheetView view="pageBreakPreview" zoomScale="124" zoomScaleSheetLayoutView="124" zoomScalePageLayoutView="0" workbookViewId="0" topLeftCell="A1">
      <selection activeCell="G11" sqref="G11:H11"/>
    </sheetView>
  </sheetViews>
  <sheetFormatPr defaultColWidth="9.00390625" defaultRowHeight="12.75"/>
  <cols>
    <col min="1" max="1" width="14.375" style="1169" customWidth="1"/>
    <col min="2" max="2" width="17.00390625" style="1169" customWidth="1"/>
    <col min="3" max="3" width="13.75390625" style="1166" customWidth="1"/>
    <col min="4" max="4" width="13.875" style="1166" customWidth="1"/>
    <col min="5" max="5" width="14.25390625" style="1166" customWidth="1"/>
    <col min="6" max="6" width="13.625" style="1166" customWidth="1"/>
    <col min="7" max="7" width="17.25390625" style="1166" customWidth="1"/>
    <col min="8" max="8" width="16.375" style="1166" customWidth="1"/>
    <col min="9" max="16384" width="9.125" style="1166" customWidth="1"/>
  </cols>
  <sheetData>
    <row r="1" ht="23.25" customHeight="1">
      <c r="F1" s="1167" t="s">
        <v>916</v>
      </c>
    </row>
    <row r="2" ht="23.25" customHeight="1">
      <c r="F2" s="1170"/>
    </row>
    <row r="3" spans="1:6" ht="30.75" customHeight="1">
      <c r="A3" s="1409" t="s">
        <v>1054</v>
      </c>
      <c r="B3" s="1409"/>
      <c r="C3" s="1409"/>
      <c r="D3" s="1409"/>
      <c r="E3" s="1409"/>
      <c r="F3" s="1409"/>
    </row>
    <row r="4" ht="16.5" customHeight="1" thickBot="1">
      <c r="F4" s="1170" t="s">
        <v>169</v>
      </c>
    </row>
    <row r="5" spans="1:6" s="1180" customFormat="1" ht="18" customHeight="1">
      <c r="A5" s="1429" t="s">
        <v>460</v>
      </c>
      <c r="B5" s="1433" t="s">
        <v>1260</v>
      </c>
      <c r="C5" s="1427" t="s">
        <v>289</v>
      </c>
      <c r="D5" s="1437"/>
      <c r="E5" s="1427" t="s">
        <v>290</v>
      </c>
      <c r="F5" s="1428"/>
    </row>
    <row r="6" spans="1:6" s="1180" customFormat="1" ht="18" customHeight="1">
      <c r="A6" s="1430"/>
      <c r="B6" s="1434"/>
      <c r="C6" s="1181" t="s">
        <v>461</v>
      </c>
      <c r="D6" s="1181" t="s">
        <v>462</v>
      </c>
      <c r="E6" s="1181" t="s">
        <v>461</v>
      </c>
      <c r="F6" s="1182" t="s">
        <v>462</v>
      </c>
    </row>
    <row r="7" spans="1:6" s="1180" customFormat="1" ht="13.5" customHeight="1">
      <c r="A7" s="1183">
        <v>1</v>
      </c>
      <c r="B7" s="1184">
        <v>2</v>
      </c>
      <c r="C7" s="1181">
        <v>3</v>
      </c>
      <c r="D7" s="1181">
        <v>4</v>
      </c>
      <c r="E7" s="1181">
        <v>5</v>
      </c>
      <c r="F7" s="1182">
        <v>6</v>
      </c>
    </row>
    <row r="8" spans="1:6" s="1174" customFormat="1" ht="18" customHeight="1">
      <c r="A8" s="1416" t="s">
        <v>463</v>
      </c>
      <c r="B8" s="1417"/>
      <c r="C8" s="1412">
        <v>37000000</v>
      </c>
      <c r="D8" s="1414"/>
      <c r="E8" s="1412">
        <v>19504371</v>
      </c>
      <c r="F8" s="1413"/>
    </row>
    <row r="9" spans="1:10" ht="18" customHeight="1">
      <c r="A9" s="1193" t="s">
        <v>1542</v>
      </c>
      <c r="B9" s="1188" t="s">
        <v>1543</v>
      </c>
      <c r="C9" s="1189">
        <v>0</v>
      </c>
      <c r="D9" s="1189">
        <v>1722371</v>
      </c>
      <c r="E9" s="1189">
        <v>0</v>
      </c>
      <c r="F9" s="1190">
        <v>0</v>
      </c>
      <c r="H9" s="1191"/>
      <c r="I9" s="1192"/>
      <c r="J9" s="1192"/>
    </row>
    <row r="10" spans="1:10" ht="18" customHeight="1">
      <c r="A10" s="1193" t="s">
        <v>1548</v>
      </c>
      <c r="B10" s="1188" t="s">
        <v>1549</v>
      </c>
      <c r="C10" s="1189">
        <v>0</v>
      </c>
      <c r="D10" s="1189">
        <v>87000</v>
      </c>
      <c r="E10" s="1189">
        <v>0</v>
      </c>
      <c r="F10" s="1190">
        <v>0</v>
      </c>
      <c r="H10" s="1191"/>
      <c r="I10" s="1192"/>
      <c r="J10" s="1192"/>
    </row>
    <row r="11" spans="1:10" ht="18" customHeight="1">
      <c r="A11" s="1193" t="s">
        <v>1557</v>
      </c>
      <c r="B11" s="1188" t="s">
        <v>1558</v>
      </c>
      <c r="C11" s="1189">
        <v>0</v>
      </c>
      <c r="D11" s="1189">
        <v>30015328</v>
      </c>
      <c r="E11" s="1189">
        <v>0</v>
      </c>
      <c r="F11" s="1190">
        <v>0</v>
      </c>
      <c r="H11" s="1191"/>
      <c r="I11" s="1192"/>
      <c r="J11" s="1192"/>
    </row>
    <row r="12" spans="1:6" s="1174" customFormat="1" ht="18" customHeight="1">
      <c r="A12" s="1423" t="s">
        <v>820</v>
      </c>
      <c r="B12" s="1424"/>
      <c r="C12" s="1185">
        <f>SUM(C9:C11)</f>
        <v>0</v>
      </c>
      <c r="D12" s="1185">
        <f>SUM(D9:D11)</f>
        <v>31824699</v>
      </c>
      <c r="E12" s="1185">
        <f>SUM(E9:E11)</f>
        <v>0</v>
      </c>
      <c r="F12" s="1186">
        <f>SUM(F9:F11)</f>
        <v>0</v>
      </c>
    </row>
    <row r="13" spans="1:6" s="1174" customFormat="1" ht="18" customHeight="1">
      <c r="A13" s="1425" t="s">
        <v>464</v>
      </c>
      <c r="B13" s="1426"/>
      <c r="C13" s="1435">
        <f>SUM(C12:D12)</f>
        <v>31824699</v>
      </c>
      <c r="D13" s="1438"/>
      <c r="E13" s="1435">
        <f>SUM(E12:F12)</f>
        <v>0</v>
      </c>
      <c r="F13" s="1436"/>
    </row>
    <row r="14" spans="1:6" s="1174" customFormat="1" ht="18" customHeight="1" thickBot="1">
      <c r="A14" s="1431" t="s">
        <v>465</v>
      </c>
      <c r="B14" s="1432"/>
      <c r="C14" s="1407">
        <f>SUM(C8,C13)</f>
        <v>68824699</v>
      </c>
      <c r="D14" s="1415"/>
      <c r="E14" s="1407">
        <f>SUM(E8,E13)</f>
        <v>19504371</v>
      </c>
      <c r="F14" s="1408"/>
    </row>
    <row r="15" spans="1:2" s="1174" customFormat="1" ht="12.75">
      <c r="A15" s="1194"/>
      <c r="B15" s="1194"/>
    </row>
    <row r="16" spans="1:6" s="1174" customFormat="1" ht="12.75" hidden="1">
      <c r="A16" s="1194" t="s">
        <v>658</v>
      </c>
      <c r="B16" s="1194"/>
      <c r="C16" s="1405">
        <v>68824699</v>
      </c>
      <c r="D16" s="1405"/>
      <c r="E16" s="1405">
        <v>19504371</v>
      </c>
      <c r="F16" s="1405"/>
    </row>
    <row r="17" spans="1:6" s="1174" customFormat="1" ht="12.75" hidden="1">
      <c r="A17" s="1194" t="s">
        <v>76</v>
      </c>
      <c r="B17" s="1194"/>
      <c r="C17" s="1405">
        <f>C14-C16</f>
        <v>0</v>
      </c>
      <c r="D17" s="1405"/>
      <c r="E17" s="1405">
        <f>E14-E16</f>
        <v>0</v>
      </c>
      <c r="F17" s="1405"/>
    </row>
    <row r="19" spans="3:6" ht="12.75">
      <c r="C19" s="1404"/>
      <c r="D19" s="1404"/>
      <c r="E19" s="1404"/>
      <c r="F19" s="1404"/>
    </row>
    <row r="20" spans="3:6" ht="12.75">
      <c r="C20" s="1404"/>
      <c r="D20" s="1404"/>
      <c r="E20" s="1404"/>
      <c r="F20" s="1404"/>
    </row>
  </sheetData>
  <sheetProtection password="CF53" sheet="1" formatCells="0" formatColumns="0" formatRows="0" insertColumns="0" insertRows="0" insertHyperlinks="0" deleteColumns="0" deleteRows="0" sort="0" autoFilter="0" pivotTables="0"/>
  <mergeCells count="23">
    <mergeCell ref="E20:F20"/>
    <mergeCell ref="C14:D14"/>
    <mergeCell ref="E19:F19"/>
    <mergeCell ref="E17:F17"/>
    <mergeCell ref="C16:D16"/>
    <mergeCell ref="E16:F16"/>
    <mergeCell ref="C20:D20"/>
    <mergeCell ref="E14:F14"/>
    <mergeCell ref="C19:D19"/>
    <mergeCell ref="A14:B14"/>
    <mergeCell ref="C17:D17"/>
    <mergeCell ref="B5:B6"/>
    <mergeCell ref="A8:B8"/>
    <mergeCell ref="E13:F13"/>
    <mergeCell ref="C5:D5"/>
    <mergeCell ref="C8:D8"/>
    <mergeCell ref="C13:D13"/>
    <mergeCell ref="A3:F3"/>
    <mergeCell ref="A12:B12"/>
    <mergeCell ref="A13:B13"/>
    <mergeCell ref="E8:F8"/>
    <mergeCell ref="E5:F5"/>
    <mergeCell ref="A5:A6"/>
  </mergeCells>
  <printOptions/>
  <pageMargins left="0.7480314960629921" right="0.7480314960629921" top="0.984251968503937" bottom="0.984251968503937" header="0.5118110236220472" footer="0.5118110236220472"/>
  <pageSetup firstPageNumber="7" useFirstPageNumber="1" horizontalDpi="600" verticalDpi="600" orientation="portrait" paperSize="9" r:id="rId1"/>
  <headerFooter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F59"/>
  <sheetViews>
    <sheetView view="pageBreakPreview" zoomScale="148" zoomScaleSheetLayoutView="148" zoomScalePageLayoutView="0" workbookViewId="0" topLeftCell="A43">
      <selection activeCell="H57" sqref="H57"/>
    </sheetView>
  </sheetViews>
  <sheetFormatPr defaultColWidth="9.00390625" defaultRowHeight="12.75"/>
  <cols>
    <col min="1" max="1" width="3.625" style="82" customWidth="1"/>
    <col min="2" max="2" width="4.625" style="82" customWidth="1"/>
    <col min="3" max="3" width="50.625" style="82" customWidth="1"/>
    <col min="4" max="4" width="11.25390625" style="82" customWidth="1"/>
    <col min="5" max="5" width="11.25390625" style="82" bestFit="1" customWidth="1"/>
    <col min="6" max="6" width="5.625" style="82" customWidth="1"/>
    <col min="7" max="16384" width="9.125" style="82" customWidth="1"/>
  </cols>
  <sheetData>
    <row r="1" spans="5:6" s="2" customFormat="1" ht="12.75">
      <c r="E1" s="1439" t="s">
        <v>926</v>
      </c>
      <c r="F1" s="1439"/>
    </row>
    <row r="2" s="2" customFormat="1" ht="12.75"/>
    <row r="3" spans="1:6" s="2" customFormat="1" ht="12" customHeight="1">
      <c r="A3" s="1443" t="s">
        <v>897</v>
      </c>
      <c r="B3" s="1443"/>
      <c r="C3" s="1443"/>
      <c r="D3" s="1443"/>
      <c r="E3" s="1443"/>
      <c r="F3" s="1443"/>
    </row>
    <row r="4" spans="1:6" s="2" customFormat="1" ht="12" customHeight="1">
      <c r="A4" s="1"/>
      <c r="B4" s="1"/>
      <c r="C4" s="1"/>
      <c r="D4" s="1"/>
      <c r="E4" s="1"/>
      <c r="F4" s="1"/>
    </row>
    <row r="5" spans="1:6" s="2" customFormat="1" ht="14.25" customHeight="1" thickBot="1">
      <c r="A5" s="1618" t="s">
        <v>1130</v>
      </c>
      <c r="B5" s="1618"/>
      <c r="C5" s="1618"/>
      <c r="F5" s="248" t="s">
        <v>169</v>
      </c>
    </row>
    <row r="6" spans="1:6" s="1" customFormat="1" ht="22.5" customHeight="1">
      <c r="A6" s="771" t="s">
        <v>823</v>
      </c>
      <c r="B6" s="773" t="s">
        <v>127</v>
      </c>
      <c r="C6" s="773" t="s">
        <v>171</v>
      </c>
      <c r="D6" s="774" t="s">
        <v>172</v>
      </c>
      <c r="E6" s="774" t="s">
        <v>173</v>
      </c>
      <c r="F6" s="803" t="s">
        <v>559</v>
      </c>
    </row>
    <row r="7" spans="1:6" s="808" customFormat="1" ht="12" customHeight="1" thickBot="1">
      <c r="A7" s="804">
        <v>1</v>
      </c>
      <c r="B7" s="805">
        <v>2</v>
      </c>
      <c r="C7" s="805">
        <v>3</v>
      </c>
      <c r="D7" s="806">
        <v>4</v>
      </c>
      <c r="E7" s="806">
        <v>5</v>
      </c>
      <c r="F7" s="807">
        <v>6</v>
      </c>
    </row>
    <row r="8" spans="1:6" s="3" customFormat="1" ht="27" customHeight="1">
      <c r="A8" s="352" t="s">
        <v>560</v>
      </c>
      <c r="B8" s="353"/>
      <c r="C8" s="809" t="s">
        <v>472</v>
      </c>
      <c r="D8" s="354">
        <v>1044059</v>
      </c>
      <c r="E8" s="354">
        <v>1044059.09</v>
      </c>
      <c r="F8" s="836" t="s">
        <v>831</v>
      </c>
    </row>
    <row r="9" spans="1:6" s="3" customFormat="1" ht="19.5" customHeight="1">
      <c r="A9" s="690" t="s">
        <v>561</v>
      </c>
      <c r="B9" s="811"/>
      <c r="C9" s="811" t="s">
        <v>815</v>
      </c>
      <c r="D9" s="223">
        <f>SUM(D10,D11,D12,D13,D14,D16,D17)</f>
        <v>7532000</v>
      </c>
      <c r="E9" s="223">
        <f>SUM(E10,E11,E12,E13,E14,E16,E17)</f>
        <v>3875135.2899999996</v>
      </c>
      <c r="F9" s="812">
        <f aca="true" t="shared" si="0" ref="F9:F54">E9/D9*100</f>
        <v>51.44895499203398</v>
      </c>
    </row>
    <row r="10" spans="1:6" s="2" customFormat="1" ht="53.25" customHeight="1">
      <c r="A10" s="365" t="s">
        <v>826</v>
      </c>
      <c r="B10" s="570" t="s">
        <v>683</v>
      </c>
      <c r="C10" s="594" t="s">
        <v>1411</v>
      </c>
      <c r="D10" s="364">
        <v>2200000</v>
      </c>
      <c r="E10" s="364">
        <v>773411.81</v>
      </c>
      <c r="F10" s="813">
        <f t="shared" si="0"/>
        <v>35.15508227272727</v>
      </c>
    </row>
    <row r="11" spans="1:6" s="2" customFormat="1" ht="18.75" customHeight="1">
      <c r="A11" s="365" t="s">
        <v>827</v>
      </c>
      <c r="B11" s="570" t="s">
        <v>678</v>
      </c>
      <c r="C11" s="585" t="s">
        <v>562</v>
      </c>
      <c r="D11" s="364">
        <v>2500000</v>
      </c>
      <c r="E11" s="364">
        <v>1144430.25</v>
      </c>
      <c r="F11" s="813">
        <f t="shared" si="0"/>
        <v>45.777210000000004</v>
      </c>
    </row>
    <row r="12" spans="1:6" s="2" customFormat="1" ht="18.75" customHeight="1">
      <c r="A12" s="365" t="s">
        <v>942</v>
      </c>
      <c r="B12" s="570" t="s">
        <v>679</v>
      </c>
      <c r="C12" s="585" t="s">
        <v>1377</v>
      </c>
      <c r="D12" s="364">
        <v>7000</v>
      </c>
      <c r="E12" s="364">
        <v>1584.89</v>
      </c>
      <c r="F12" s="813">
        <f t="shared" si="0"/>
        <v>22.641285714285715</v>
      </c>
    </row>
    <row r="13" spans="1:6" s="2" customFormat="1" ht="18.75" customHeight="1">
      <c r="A13" s="365" t="s">
        <v>949</v>
      </c>
      <c r="B13" s="570" t="s">
        <v>680</v>
      </c>
      <c r="C13" s="585" t="s">
        <v>770</v>
      </c>
      <c r="D13" s="364">
        <v>25000</v>
      </c>
      <c r="E13" s="364">
        <v>1750.4</v>
      </c>
      <c r="F13" s="813">
        <f t="shared" si="0"/>
        <v>7.001600000000001</v>
      </c>
    </row>
    <row r="14" spans="1:6" s="2" customFormat="1" ht="31.5" customHeight="1">
      <c r="A14" s="365" t="s">
        <v>950</v>
      </c>
      <c r="B14" s="570" t="s">
        <v>563</v>
      </c>
      <c r="C14" s="594" t="s">
        <v>1229</v>
      </c>
      <c r="D14" s="364">
        <v>2800000</v>
      </c>
      <c r="E14" s="364">
        <v>1399825</v>
      </c>
      <c r="F14" s="813">
        <f t="shared" si="0"/>
        <v>49.99375</v>
      </c>
    </row>
    <row r="15" spans="1:6" s="2" customFormat="1" ht="45" customHeight="1" hidden="1">
      <c r="A15" s="365"/>
      <c r="B15" s="570" t="s">
        <v>1227</v>
      </c>
      <c r="C15" s="594" t="s">
        <v>1245</v>
      </c>
      <c r="D15" s="364"/>
      <c r="E15" s="364"/>
      <c r="F15" s="813" t="e">
        <f t="shared" si="0"/>
        <v>#DIV/0!</v>
      </c>
    </row>
    <row r="16" spans="1:6" s="2" customFormat="1" ht="18.75" customHeight="1" hidden="1">
      <c r="A16" s="365" t="s">
        <v>951</v>
      </c>
      <c r="B16" s="570"/>
      <c r="C16" s="585" t="s">
        <v>564</v>
      </c>
      <c r="D16" s="364">
        <v>0</v>
      </c>
      <c r="E16" s="364">
        <v>0</v>
      </c>
      <c r="F16" s="813" t="e">
        <f t="shared" si="0"/>
        <v>#DIV/0!</v>
      </c>
    </row>
    <row r="17" spans="1:6" s="2" customFormat="1" ht="17.25" customHeight="1" thickBot="1">
      <c r="A17" s="365" t="s">
        <v>951</v>
      </c>
      <c r="B17" s="570"/>
      <c r="C17" s="585" t="s">
        <v>642</v>
      </c>
      <c r="D17" s="364">
        <v>0</v>
      </c>
      <c r="E17" s="364">
        <v>554132.94</v>
      </c>
      <c r="F17" s="813" t="e">
        <f t="shared" si="0"/>
        <v>#DIV/0!</v>
      </c>
    </row>
    <row r="18" spans="1:6" s="3" customFormat="1" ht="18.75" customHeight="1" thickBot="1">
      <c r="A18" s="1619" t="s">
        <v>565</v>
      </c>
      <c r="B18" s="1620"/>
      <c r="C18" s="1620"/>
      <c r="D18" s="815">
        <f>D9+D8</f>
        <v>8576059</v>
      </c>
      <c r="E18" s="815">
        <f>E9+E8</f>
        <v>4919194.38</v>
      </c>
      <c r="F18" s="816">
        <f t="shared" si="0"/>
        <v>57.359614480264185</v>
      </c>
    </row>
    <row r="19" spans="1:6" s="3" customFormat="1" ht="18.75" customHeight="1">
      <c r="A19" s="352" t="s">
        <v>567</v>
      </c>
      <c r="B19" s="353"/>
      <c r="C19" s="353" t="s">
        <v>568</v>
      </c>
      <c r="D19" s="354">
        <f>SUM(D20:D55)</f>
        <v>8228853</v>
      </c>
      <c r="E19" s="354">
        <f>SUM(E20:E55)</f>
        <v>3505446.12</v>
      </c>
      <c r="F19" s="837">
        <f t="shared" si="0"/>
        <v>42.59945000840336</v>
      </c>
    </row>
    <row r="20" spans="1:6" s="2" customFormat="1" ht="18.75" customHeight="1">
      <c r="A20" s="365" t="s">
        <v>826</v>
      </c>
      <c r="B20" s="818">
        <v>3020</v>
      </c>
      <c r="C20" s="585" t="s">
        <v>569</v>
      </c>
      <c r="D20" s="364">
        <v>30000</v>
      </c>
      <c r="E20" s="364">
        <v>6042.34</v>
      </c>
      <c r="F20" s="813">
        <f t="shared" si="0"/>
        <v>20.141133333333332</v>
      </c>
    </row>
    <row r="21" spans="1:6" s="2" customFormat="1" ht="18.75" customHeight="1">
      <c r="A21" s="365" t="s">
        <v>827</v>
      </c>
      <c r="B21" s="818">
        <v>4010</v>
      </c>
      <c r="C21" s="585" t="s">
        <v>570</v>
      </c>
      <c r="D21" s="364">
        <v>2370000</v>
      </c>
      <c r="E21" s="364">
        <v>1043493.76</v>
      </c>
      <c r="F21" s="813">
        <f t="shared" si="0"/>
        <v>44.02927257383966</v>
      </c>
    </row>
    <row r="22" spans="1:6" s="2" customFormat="1" ht="18.75" customHeight="1">
      <c r="A22" s="365" t="s">
        <v>942</v>
      </c>
      <c r="B22" s="818">
        <v>4040</v>
      </c>
      <c r="C22" s="585" t="s">
        <v>571</v>
      </c>
      <c r="D22" s="364">
        <v>193000</v>
      </c>
      <c r="E22" s="364">
        <v>0</v>
      </c>
      <c r="F22" s="813">
        <f t="shared" si="0"/>
        <v>0</v>
      </c>
    </row>
    <row r="23" spans="1:6" s="2" customFormat="1" ht="18.75" customHeight="1">
      <c r="A23" s="365" t="s">
        <v>949</v>
      </c>
      <c r="B23" s="818">
        <v>4110</v>
      </c>
      <c r="C23" s="585" t="s">
        <v>1001</v>
      </c>
      <c r="D23" s="364">
        <v>480000</v>
      </c>
      <c r="E23" s="364">
        <v>204255.57</v>
      </c>
      <c r="F23" s="813">
        <f t="shared" si="0"/>
        <v>42.55324375</v>
      </c>
    </row>
    <row r="24" spans="1:6" ht="18.75" customHeight="1" hidden="1">
      <c r="A24" s="87" t="s">
        <v>950</v>
      </c>
      <c r="B24" s="126">
        <v>4118</v>
      </c>
      <c r="C24" s="130" t="s">
        <v>1230</v>
      </c>
      <c r="D24" s="86">
        <v>0</v>
      </c>
      <c r="E24" s="86">
        <v>0</v>
      </c>
      <c r="F24" s="123" t="e">
        <f t="shared" si="0"/>
        <v>#DIV/0!</v>
      </c>
    </row>
    <row r="25" spans="1:6" ht="18.75" customHeight="1" hidden="1">
      <c r="A25" s="87" t="s">
        <v>951</v>
      </c>
      <c r="B25" s="126">
        <v>4119</v>
      </c>
      <c r="C25" s="130" t="s">
        <v>1230</v>
      </c>
      <c r="D25" s="86">
        <v>0</v>
      </c>
      <c r="E25" s="86">
        <v>0</v>
      </c>
      <c r="F25" s="123" t="e">
        <f t="shared" si="0"/>
        <v>#DIV/0!</v>
      </c>
    </row>
    <row r="26" spans="1:6" s="2" customFormat="1" ht="18.75" customHeight="1">
      <c r="A26" s="365" t="s">
        <v>950</v>
      </c>
      <c r="B26" s="818">
        <v>4120</v>
      </c>
      <c r="C26" s="585" t="s">
        <v>1002</v>
      </c>
      <c r="D26" s="364">
        <v>60000</v>
      </c>
      <c r="E26" s="364">
        <v>18991.2</v>
      </c>
      <c r="F26" s="813">
        <f t="shared" si="0"/>
        <v>31.652</v>
      </c>
    </row>
    <row r="27" spans="1:6" s="2" customFormat="1" ht="30" customHeight="1">
      <c r="A27" s="365" t="s">
        <v>951</v>
      </c>
      <c r="B27" s="818">
        <v>4140</v>
      </c>
      <c r="C27" s="594" t="s">
        <v>898</v>
      </c>
      <c r="D27" s="364">
        <v>20000</v>
      </c>
      <c r="E27" s="364">
        <v>8619</v>
      </c>
      <c r="F27" s="813">
        <f t="shared" si="0"/>
        <v>43.095</v>
      </c>
    </row>
    <row r="28" spans="1:6" s="2" customFormat="1" ht="18.75" customHeight="1">
      <c r="A28" s="365" t="s">
        <v>281</v>
      </c>
      <c r="B28" s="818">
        <v>4170</v>
      </c>
      <c r="C28" s="537" t="s">
        <v>1003</v>
      </c>
      <c r="D28" s="364">
        <v>830000</v>
      </c>
      <c r="E28" s="364">
        <v>298239.6</v>
      </c>
      <c r="F28" s="813">
        <f t="shared" si="0"/>
        <v>35.93248192771084</v>
      </c>
    </row>
    <row r="29" spans="1:6" s="2" customFormat="1" ht="18.75" customHeight="1" hidden="1">
      <c r="A29" s="365" t="s">
        <v>282</v>
      </c>
      <c r="B29" s="818">
        <v>4178</v>
      </c>
      <c r="C29" s="537" t="s">
        <v>1003</v>
      </c>
      <c r="D29" s="364">
        <v>0</v>
      </c>
      <c r="E29" s="364">
        <v>0</v>
      </c>
      <c r="F29" s="813" t="e">
        <f t="shared" si="0"/>
        <v>#DIV/0!</v>
      </c>
    </row>
    <row r="30" spans="1:6" s="2" customFormat="1" ht="18.75" customHeight="1" hidden="1">
      <c r="A30" s="365" t="s">
        <v>952</v>
      </c>
      <c r="B30" s="818">
        <v>4179</v>
      </c>
      <c r="C30" s="537" t="s">
        <v>1003</v>
      </c>
      <c r="D30" s="364">
        <v>0</v>
      </c>
      <c r="E30" s="364">
        <v>0</v>
      </c>
      <c r="F30" s="813" t="e">
        <f t="shared" si="0"/>
        <v>#DIV/0!</v>
      </c>
    </row>
    <row r="31" spans="1:6" s="2" customFormat="1" ht="18.75" customHeight="1">
      <c r="A31" s="365" t="s">
        <v>282</v>
      </c>
      <c r="B31" s="818">
        <v>4210</v>
      </c>
      <c r="C31" s="537" t="s">
        <v>1004</v>
      </c>
      <c r="D31" s="364">
        <v>450000</v>
      </c>
      <c r="E31" s="364">
        <v>183114.34</v>
      </c>
      <c r="F31" s="813">
        <f t="shared" si="0"/>
        <v>40.692075555555554</v>
      </c>
    </row>
    <row r="32" spans="1:6" s="2" customFormat="1" ht="18.75" customHeight="1" hidden="1">
      <c r="A32" s="365" t="s">
        <v>952</v>
      </c>
      <c r="B32" s="818">
        <v>4218</v>
      </c>
      <c r="C32" s="537" t="s">
        <v>1004</v>
      </c>
      <c r="D32" s="364">
        <v>0</v>
      </c>
      <c r="E32" s="364">
        <v>0</v>
      </c>
      <c r="F32" s="813" t="e">
        <f t="shared" si="0"/>
        <v>#DIV/0!</v>
      </c>
    </row>
    <row r="33" spans="1:6" s="2" customFormat="1" ht="18.75" customHeight="1" hidden="1">
      <c r="A33" s="365" t="s">
        <v>954</v>
      </c>
      <c r="B33" s="818">
        <v>4219</v>
      </c>
      <c r="C33" s="537" t="s">
        <v>1004</v>
      </c>
      <c r="D33" s="364">
        <v>0</v>
      </c>
      <c r="E33" s="364">
        <v>0</v>
      </c>
      <c r="F33" s="813" t="e">
        <f t="shared" si="0"/>
        <v>#DIV/0!</v>
      </c>
    </row>
    <row r="34" spans="1:6" s="2" customFormat="1" ht="18.75" customHeight="1">
      <c r="A34" s="365" t="s">
        <v>952</v>
      </c>
      <c r="B34" s="818">
        <v>4260</v>
      </c>
      <c r="C34" s="537" t="s">
        <v>1005</v>
      </c>
      <c r="D34" s="364">
        <v>850000</v>
      </c>
      <c r="E34" s="364">
        <v>348426.31</v>
      </c>
      <c r="F34" s="813">
        <f t="shared" si="0"/>
        <v>40.99133058823529</v>
      </c>
    </row>
    <row r="35" spans="1:6" s="2" customFormat="1" ht="18.75" customHeight="1">
      <c r="A35" s="365" t="s">
        <v>954</v>
      </c>
      <c r="B35" s="818">
        <v>4270</v>
      </c>
      <c r="C35" s="585" t="s">
        <v>1006</v>
      </c>
      <c r="D35" s="364">
        <v>700000</v>
      </c>
      <c r="E35" s="364">
        <v>259385.58</v>
      </c>
      <c r="F35" s="813">
        <f t="shared" si="0"/>
        <v>37.05508285714286</v>
      </c>
    </row>
    <row r="36" spans="1:6" s="2" customFormat="1" ht="18.75" customHeight="1">
      <c r="A36" s="365" t="s">
        <v>283</v>
      </c>
      <c r="B36" s="818">
        <v>4280</v>
      </c>
      <c r="C36" s="585" t="s">
        <v>896</v>
      </c>
      <c r="D36" s="364">
        <v>3000</v>
      </c>
      <c r="E36" s="364">
        <v>2385</v>
      </c>
      <c r="F36" s="813">
        <f t="shared" si="0"/>
        <v>79.5</v>
      </c>
    </row>
    <row r="37" spans="1:6" s="2" customFormat="1" ht="18.75" customHeight="1">
      <c r="A37" s="365" t="s">
        <v>955</v>
      </c>
      <c r="B37" s="818">
        <v>4300</v>
      </c>
      <c r="C37" s="537" t="s">
        <v>1012</v>
      </c>
      <c r="D37" s="364">
        <v>882853</v>
      </c>
      <c r="E37" s="364">
        <v>382083.18</v>
      </c>
      <c r="F37" s="813">
        <f t="shared" si="0"/>
        <v>43.27823318264762</v>
      </c>
    </row>
    <row r="38" spans="1:6" s="2" customFormat="1" ht="18.75" customHeight="1" hidden="1">
      <c r="A38" s="365" t="s">
        <v>956</v>
      </c>
      <c r="B38" s="818">
        <v>4308</v>
      </c>
      <c r="C38" s="537" t="s">
        <v>1012</v>
      </c>
      <c r="D38" s="364">
        <v>0</v>
      </c>
      <c r="E38" s="364">
        <v>0</v>
      </c>
      <c r="F38" s="813" t="e">
        <f t="shared" si="0"/>
        <v>#DIV/0!</v>
      </c>
    </row>
    <row r="39" spans="1:6" s="2" customFormat="1" ht="18.75" customHeight="1" hidden="1">
      <c r="A39" s="365" t="s">
        <v>284</v>
      </c>
      <c r="B39" s="818">
        <v>4309</v>
      </c>
      <c r="C39" s="537" t="s">
        <v>1012</v>
      </c>
      <c r="D39" s="364">
        <v>0</v>
      </c>
      <c r="E39" s="364">
        <v>0</v>
      </c>
      <c r="F39" s="813" t="e">
        <f t="shared" si="0"/>
        <v>#DIV/0!</v>
      </c>
    </row>
    <row r="40" spans="1:6" s="2" customFormat="1" ht="20.25" customHeight="1">
      <c r="A40" s="365" t="s">
        <v>956</v>
      </c>
      <c r="B40" s="818">
        <v>4360</v>
      </c>
      <c r="C40" s="820" t="s">
        <v>1410</v>
      </c>
      <c r="D40" s="364">
        <v>20000</v>
      </c>
      <c r="E40" s="364">
        <v>8553.89</v>
      </c>
      <c r="F40" s="813">
        <f t="shared" si="0"/>
        <v>42.76945</v>
      </c>
    </row>
    <row r="41" spans="1:6" s="2" customFormat="1" ht="18.75" customHeight="1">
      <c r="A41" s="365" t="s">
        <v>284</v>
      </c>
      <c r="B41" s="818">
        <v>4390</v>
      </c>
      <c r="C41" s="585" t="s">
        <v>899</v>
      </c>
      <c r="D41" s="364">
        <v>10000</v>
      </c>
      <c r="E41" s="364">
        <v>7468</v>
      </c>
      <c r="F41" s="813">
        <f t="shared" si="0"/>
        <v>74.68</v>
      </c>
    </row>
    <row r="42" spans="1:6" s="2" customFormat="1" ht="27.75" customHeight="1" hidden="1">
      <c r="A42" s="365" t="s">
        <v>959</v>
      </c>
      <c r="B42" s="818">
        <v>4400</v>
      </c>
      <c r="C42" s="594" t="s">
        <v>1013</v>
      </c>
      <c r="D42" s="364"/>
      <c r="E42" s="364"/>
      <c r="F42" s="813" t="e">
        <f t="shared" si="0"/>
        <v>#DIV/0!</v>
      </c>
    </row>
    <row r="43" spans="1:6" s="2" customFormat="1" ht="18.75" customHeight="1">
      <c r="A43" s="365" t="s">
        <v>957</v>
      </c>
      <c r="B43" s="818">
        <v>4410</v>
      </c>
      <c r="C43" s="585" t="s">
        <v>1014</v>
      </c>
      <c r="D43" s="364">
        <v>4000</v>
      </c>
      <c r="E43" s="364">
        <v>1589.65</v>
      </c>
      <c r="F43" s="813">
        <f t="shared" si="0"/>
        <v>39.74125</v>
      </c>
    </row>
    <row r="44" spans="1:6" s="2" customFormat="1" ht="18.75" customHeight="1">
      <c r="A44" s="365" t="s">
        <v>958</v>
      </c>
      <c r="B44" s="818">
        <v>4420</v>
      </c>
      <c r="C44" s="585" t="s">
        <v>900</v>
      </c>
      <c r="D44" s="364">
        <v>1000</v>
      </c>
      <c r="E44" s="364">
        <v>0</v>
      </c>
      <c r="F44" s="813">
        <f t="shared" si="0"/>
        <v>0</v>
      </c>
    </row>
    <row r="45" spans="1:6" s="2" customFormat="1" ht="18.75" customHeight="1">
      <c r="A45" s="365" t="s">
        <v>959</v>
      </c>
      <c r="B45" s="818">
        <v>4430</v>
      </c>
      <c r="C45" s="585" t="s">
        <v>1015</v>
      </c>
      <c r="D45" s="364">
        <v>60000</v>
      </c>
      <c r="E45" s="364">
        <v>25830.53</v>
      </c>
      <c r="F45" s="813">
        <f t="shared" si="0"/>
        <v>43.05088333333333</v>
      </c>
    </row>
    <row r="46" spans="1:6" s="2" customFormat="1" ht="18.75" customHeight="1">
      <c r="A46" s="365" t="s">
        <v>960</v>
      </c>
      <c r="B46" s="818">
        <v>4440</v>
      </c>
      <c r="C46" s="585" t="s">
        <v>1016</v>
      </c>
      <c r="D46" s="364">
        <v>60000</v>
      </c>
      <c r="E46" s="364">
        <v>46241</v>
      </c>
      <c r="F46" s="813">
        <f t="shared" si="0"/>
        <v>77.06833333333334</v>
      </c>
    </row>
    <row r="47" spans="1:6" s="2" customFormat="1" ht="18.75" customHeight="1">
      <c r="A47" s="365" t="s">
        <v>966</v>
      </c>
      <c r="B47" s="818">
        <v>4480</v>
      </c>
      <c r="C47" s="585" t="s">
        <v>781</v>
      </c>
      <c r="D47" s="364">
        <v>1090000</v>
      </c>
      <c r="E47" s="364">
        <v>538686</v>
      </c>
      <c r="F47" s="813">
        <f t="shared" si="0"/>
        <v>49.42073394495413</v>
      </c>
    </row>
    <row r="48" spans="1:6" s="2" customFormat="1" ht="30.75" customHeight="1" hidden="1">
      <c r="A48" s="365" t="s">
        <v>969</v>
      </c>
      <c r="B48" s="818">
        <v>4500</v>
      </c>
      <c r="C48" s="594" t="s">
        <v>360</v>
      </c>
      <c r="D48" s="364"/>
      <c r="E48" s="364"/>
      <c r="F48" s="813" t="e">
        <f t="shared" si="0"/>
        <v>#DIV/0!</v>
      </c>
    </row>
    <row r="49" spans="1:6" s="2" customFormat="1" ht="18.75" customHeight="1">
      <c r="A49" s="365" t="s">
        <v>967</v>
      </c>
      <c r="B49" s="818">
        <v>4520</v>
      </c>
      <c r="C49" s="594" t="s">
        <v>901</v>
      </c>
      <c r="D49" s="364">
        <v>5000</v>
      </c>
      <c r="E49" s="364">
        <v>4830.15</v>
      </c>
      <c r="F49" s="813">
        <f t="shared" si="0"/>
        <v>96.603</v>
      </c>
    </row>
    <row r="50" spans="1:6" s="2" customFormat="1" ht="18.75" customHeight="1">
      <c r="A50" s="365" t="s">
        <v>968</v>
      </c>
      <c r="B50" s="818">
        <v>4610</v>
      </c>
      <c r="C50" s="594" t="s">
        <v>616</v>
      </c>
      <c r="D50" s="364">
        <v>4000</v>
      </c>
      <c r="E50" s="364">
        <v>1700.69</v>
      </c>
      <c r="F50" s="813">
        <f t="shared" si="0"/>
        <v>42.517250000000004</v>
      </c>
    </row>
    <row r="51" spans="1:6" s="2" customFormat="1" ht="27" customHeight="1">
      <c r="A51" s="365" t="s">
        <v>969</v>
      </c>
      <c r="B51" s="818">
        <v>4700</v>
      </c>
      <c r="C51" s="594" t="s">
        <v>1019</v>
      </c>
      <c r="D51" s="364">
        <v>6000</v>
      </c>
      <c r="E51" s="364">
        <v>1175</v>
      </c>
      <c r="F51" s="813">
        <f t="shared" si="0"/>
        <v>19.583333333333332</v>
      </c>
    </row>
    <row r="52" spans="1:6" ht="30" customHeight="1" hidden="1">
      <c r="A52" s="87" t="s">
        <v>869</v>
      </c>
      <c r="B52" s="126">
        <v>4740</v>
      </c>
      <c r="C52" s="117" t="s">
        <v>1020</v>
      </c>
      <c r="D52" s="86">
        <v>0</v>
      </c>
      <c r="E52" s="86">
        <v>0</v>
      </c>
      <c r="F52" s="123" t="e">
        <f t="shared" si="0"/>
        <v>#DIV/0!</v>
      </c>
    </row>
    <row r="53" spans="1:6" s="2" customFormat="1" ht="18.75" customHeight="1">
      <c r="A53" s="838" t="s">
        <v>788</v>
      </c>
      <c r="B53" s="839">
        <v>6070</v>
      </c>
      <c r="C53" s="822" t="s">
        <v>484</v>
      </c>
      <c r="D53" s="392">
        <v>100000</v>
      </c>
      <c r="E53" s="392">
        <v>53016.6</v>
      </c>
      <c r="F53" s="813">
        <f t="shared" si="0"/>
        <v>53.016600000000004</v>
      </c>
    </row>
    <row r="54" spans="1:6" ht="18.75" customHeight="1" hidden="1">
      <c r="A54" s="131" t="s">
        <v>791</v>
      </c>
      <c r="B54" s="132"/>
      <c r="C54" s="133" t="s">
        <v>1023</v>
      </c>
      <c r="D54" s="88">
        <v>0</v>
      </c>
      <c r="E54" s="88">
        <v>0</v>
      </c>
      <c r="F54" s="123" t="e">
        <f t="shared" si="0"/>
        <v>#DIV/0!</v>
      </c>
    </row>
    <row r="55" spans="1:6" s="2" customFormat="1" ht="18.75" customHeight="1">
      <c r="A55" s="258" t="s">
        <v>788</v>
      </c>
      <c r="B55" s="823"/>
      <c r="C55" s="823" t="s">
        <v>1024</v>
      </c>
      <c r="D55" s="825">
        <v>0</v>
      </c>
      <c r="E55" s="825">
        <v>61318.73</v>
      </c>
      <c r="F55" s="840" t="s">
        <v>799</v>
      </c>
    </row>
    <row r="56" spans="1:6" s="3" customFormat="1" ht="22.5" customHeight="1">
      <c r="A56" s="826" t="s">
        <v>1025</v>
      </c>
      <c r="B56" s="827"/>
      <c r="C56" s="827" t="s">
        <v>902</v>
      </c>
      <c r="D56" s="829">
        <v>0</v>
      </c>
      <c r="E56" s="829">
        <v>405225.76</v>
      </c>
      <c r="F56" s="841">
        <v>0</v>
      </c>
    </row>
    <row r="57" spans="1:6" s="3" customFormat="1" ht="30.75" customHeight="1" thickBot="1">
      <c r="A57" s="842" t="s">
        <v>903</v>
      </c>
      <c r="B57" s="843"/>
      <c r="C57" s="844" t="s">
        <v>473</v>
      </c>
      <c r="D57" s="845">
        <f>D8+D9-D19-D56</f>
        <v>347206</v>
      </c>
      <c r="E57" s="845">
        <f>E8+E9-E19-E56</f>
        <v>1008522.4999999998</v>
      </c>
      <c r="F57" s="846" t="s">
        <v>831</v>
      </c>
    </row>
    <row r="58" spans="1:6" s="2" customFormat="1" ht="18.75" customHeight="1" thickBot="1">
      <c r="A58" s="1619" t="s">
        <v>907</v>
      </c>
      <c r="B58" s="1620"/>
      <c r="C58" s="1620"/>
      <c r="D58" s="815">
        <f>D56+D57+D19</f>
        <v>8576059</v>
      </c>
      <c r="E58" s="815">
        <f>E56+E57+E19</f>
        <v>4919194.38</v>
      </c>
      <c r="F58" s="816">
        <f>E58/D58*100</f>
        <v>57.359614480264185</v>
      </c>
    </row>
    <row r="59" spans="3:5" ht="12.75" hidden="1">
      <c r="C59" s="97" t="s">
        <v>76</v>
      </c>
      <c r="D59" s="91">
        <f>D18-D58</f>
        <v>0</v>
      </c>
      <c r="E59" s="91">
        <f>E18-E58</f>
        <v>0</v>
      </c>
    </row>
  </sheetData>
  <sheetProtection password="CF53" sheet="1" formatCells="0" formatColumns="0" formatRows="0" insertColumns="0" insertRows="0" insertHyperlinks="0" deleteColumns="0" deleteRows="0" sort="0" autoFilter="0" pivotTables="0"/>
  <mergeCells count="5">
    <mergeCell ref="E1:F1"/>
    <mergeCell ref="A3:F3"/>
    <mergeCell ref="A5:C5"/>
    <mergeCell ref="A18:C18"/>
    <mergeCell ref="A58:C58"/>
  </mergeCells>
  <printOptions/>
  <pageMargins left="0.7874015748031497" right="0.7874015748031497" top="0.984251968503937" bottom="0.984251968503937" header="0.5118110236220472" footer="0.5118110236220472"/>
  <pageSetup errors="blank" firstPageNumber="90" useFirstPageNumber="1" horizontalDpi="600" verticalDpi="600" orientation="portrait" paperSize="9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F45"/>
  <sheetViews>
    <sheetView view="pageBreakPreview" zoomScale="124" zoomScaleSheetLayoutView="124" zoomScalePageLayoutView="0" workbookViewId="0" topLeftCell="A19">
      <selection activeCell="J29" sqref="J29"/>
    </sheetView>
  </sheetViews>
  <sheetFormatPr defaultColWidth="9.00390625" defaultRowHeight="15.75" customHeight="1"/>
  <cols>
    <col min="1" max="1" width="4.875" style="247" customWidth="1"/>
    <col min="2" max="2" width="52.75390625" style="2" customWidth="1"/>
    <col min="3" max="4" width="11.875" style="2" customWidth="1"/>
    <col min="5" max="5" width="5.75390625" style="2" customWidth="1"/>
    <col min="6" max="16384" width="9.125" style="2" customWidth="1"/>
  </cols>
  <sheetData>
    <row r="1" spans="4:5" ht="15.75" customHeight="1">
      <c r="D1" s="1439" t="s">
        <v>925</v>
      </c>
      <c r="E1" s="1439"/>
    </row>
    <row r="3" spans="1:5" ht="15.75" customHeight="1">
      <c r="A3" s="1443" t="s">
        <v>75</v>
      </c>
      <c r="B3" s="1443"/>
      <c r="C3" s="1443"/>
      <c r="D3" s="1443"/>
      <c r="E3" s="1443"/>
    </row>
    <row r="4" ht="17.25" customHeight="1"/>
    <row r="5" spans="1:5" ht="12.75" customHeight="1" thickBot="1">
      <c r="A5" s="1618" t="s">
        <v>1131</v>
      </c>
      <c r="B5" s="1618"/>
      <c r="E5" s="248" t="s">
        <v>169</v>
      </c>
    </row>
    <row r="6" spans="1:5" s="1" customFormat="1" ht="15.75" customHeight="1">
      <c r="A6" s="782" t="s">
        <v>823</v>
      </c>
      <c r="B6" s="12" t="s">
        <v>171</v>
      </c>
      <c r="C6" s="12" t="s">
        <v>172</v>
      </c>
      <c r="D6" s="12" t="s">
        <v>173</v>
      </c>
      <c r="E6" s="851" t="s">
        <v>174</v>
      </c>
    </row>
    <row r="7" spans="1:5" s="3" customFormat="1" ht="10.5" customHeight="1">
      <c r="A7" s="783">
        <v>1</v>
      </c>
      <c r="B7" s="316">
        <v>2</v>
      </c>
      <c r="C7" s="316">
        <v>3</v>
      </c>
      <c r="D7" s="316">
        <v>4</v>
      </c>
      <c r="E7" s="852">
        <v>5</v>
      </c>
    </row>
    <row r="8" spans="1:5" s="3" customFormat="1" ht="15.75" customHeight="1" hidden="1">
      <c r="A8" s="853" t="s">
        <v>560</v>
      </c>
      <c r="B8" s="854" t="s">
        <v>834</v>
      </c>
      <c r="C8" s="855"/>
      <c r="D8" s="855"/>
      <c r="E8" s="836" t="s">
        <v>831</v>
      </c>
    </row>
    <row r="9" spans="1:5" ht="19.5" customHeight="1">
      <c r="A9" s="853" t="s">
        <v>560</v>
      </c>
      <c r="B9" s="856" t="s">
        <v>815</v>
      </c>
      <c r="C9" s="855">
        <f>SUM(C10,C14,C15,C16,C17)</f>
        <v>4785650</v>
      </c>
      <c r="D9" s="855">
        <f>SUM(D10,D14,D15,D16,D17)</f>
        <v>2544798.17</v>
      </c>
      <c r="E9" s="812">
        <f aca="true" t="shared" si="0" ref="E9:E34">D9/C9*100</f>
        <v>53.175601433452094</v>
      </c>
    </row>
    <row r="10" spans="1:5" ht="19.5" customHeight="1">
      <c r="A10" s="838" t="s">
        <v>826</v>
      </c>
      <c r="B10" s="822" t="s">
        <v>1231</v>
      </c>
      <c r="C10" s="857">
        <f>SUM(C11:C13)</f>
        <v>3655955</v>
      </c>
      <c r="D10" s="857">
        <f>SUM(D11:D13)</f>
        <v>2173618.43</v>
      </c>
      <c r="E10" s="813">
        <f t="shared" si="0"/>
        <v>59.454189944898125</v>
      </c>
    </row>
    <row r="11" spans="1:5" s="275" customFormat="1" ht="19.5" customHeight="1">
      <c r="A11" s="847" t="s">
        <v>47</v>
      </c>
      <c r="B11" s="848" t="s">
        <v>842</v>
      </c>
      <c r="C11" s="849">
        <v>2225955</v>
      </c>
      <c r="D11" s="849">
        <v>1210955</v>
      </c>
      <c r="E11" s="850">
        <f t="shared" si="0"/>
        <v>54.40159392260849</v>
      </c>
    </row>
    <row r="12" spans="1:5" s="275" customFormat="1" ht="19.5" customHeight="1">
      <c r="A12" s="847" t="s">
        <v>48</v>
      </c>
      <c r="B12" s="848" t="s">
        <v>532</v>
      </c>
      <c r="C12" s="858">
        <v>1355000</v>
      </c>
      <c r="D12" s="858">
        <v>891046.37</v>
      </c>
      <c r="E12" s="850">
        <f t="shared" si="0"/>
        <v>65.75987970479706</v>
      </c>
    </row>
    <row r="13" spans="1:5" s="275" customFormat="1" ht="19.5" customHeight="1">
      <c r="A13" s="847" t="s">
        <v>49</v>
      </c>
      <c r="B13" s="848" t="s">
        <v>468</v>
      </c>
      <c r="C13" s="858">
        <v>75000</v>
      </c>
      <c r="D13" s="858">
        <v>71617.06</v>
      </c>
      <c r="E13" s="850">
        <f t="shared" si="0"/>
        <v>95.48941333333333</v>
      </c>
    </row>
    <row r="14" spans="1:5" s="275" customFormat="1" ht="26.25" customHeight="1" hidden="1">
      <c r="A14" s="838" t="s">
        <v>827</v>
      </c>
      <c r="B14" s="680" t="s">
        <v>1412</v>
      </c>
      <c r="C14" s="860">
        <v>0</v>
      </c>
      <c r="D14" s="860">
        <v>0</v>
      </c>
      <c r="E14" s="850" t="e">
        <f t="shared" si="0"/>
        <v>#DIV/0!</v>
      </c>
    </row>
    <row r="15" spans="1:6" ht="19.5" customHeight="1">
      <c r="A15" s="838" t="s">
        <v>827</v>
      </c>
      <c r="B15" s="822" t="s">
        <v>1285</v>
      </c>
      <c r="C15" s="860">
        <v>642900</v>
      </c>
      <c r="D15" s="860">
        <v>248118.63</v>
      </c>
      <c r="E15" s="813">
        <f t="shared" si="0"/>
        <v>38.59365842277182</v>
      </c>
      <c r="F15" s="718"/>
    </row>
    <row r="16" spans="1:6" ht="19.5" customHeight="1" thickBot="1">
      <c r="A16" s="838" t="s">
        <v>942</v>
      </c>
      <c r="B16" s="859" t="s">
        <v>1343</v>
      </c>
      <c r="C16" s="857">
        <v>486795</v>
      </c>
      <c r="D16" s="857">
        <v>123061.11</v>
      </c>
      <c r="E16" s="813">
        <f t="shared" si="0"/>
        <v>25.279863186762398</v>
      </c>
      <c r="F16" s="718"/>
    </row>
    <row r="17" spans="1:5" ht="19.5" customHeight="1" hidden="1" thickBot="1">
      <c r="A17" s="862" t="s">
        <v>949</v>
      </c>
      <c r="B17" s="866" t="s">
        <v>141</v>
      </c>
      <c r="C17" s="864">
        <v>0</v>
      </c>
      <c r="D17" s="864">
        <v>0</v>
      </c>
      <c r="E17" s="865" t="e">
        <f t="shared" si="0"/>
        <v>#DIV/0!</v>
      </c>
    </row>
    <row r="18" spans="1:5" s="3" customFormat="1" ht="19.5" customHeight="1" hidden="1" thickBot="1">
      <c r="A18" s="1619" t="s">
        <v>565</v>
      </c>
      <c r="B18" s="1620"/>
      <c r="C18" s="867">
        <f>SUM(C8,C9)</f>
        <v>4785650</v>
      </c>
      <c r="D18" s="867">
        <f>SUM(D8,D9)</f>
        <v>2544798.17</v>
      </c>
      <c r="E18" s="816">
        <f t="shared" si="0"/>
        <v>53.175601433452094</v>
      </c>
    </row>
    <row r="19" spans="1:5" s="3" customFormat="1" ht="19.5" customHeight="1">
      <c r="A19" s="256" t="s">
        <v>561</v>
      </c>
      <c r="B19" s="868" t="s">
        <v>881</v>
      </c>
      <c r="C19" s="869">
        <f>SUM(C20:C34)</f>
        <v>4710650</v>
      </c>
      <c r="D19" s="869">
        <f>SUM(D20:D34)</f>
        <v>1715707.7600000002</v>
      </c>
      <c r="E19" s="837">
        <f t="shared" si="0"/>
        <v>36.421889972721395</v>
      </c>
    </row>
    <row r="20" spans="1:5" ht="19.5" customHeight="1">
      <c r="A20" s="838" t="s">
        <v>826</v>
      </c>
      <c r="B20" s="861" t="s">
        <v>570</v>
      </c>
      <c r="C20" s="857">
        <v>1626946</v>
      </c>
      <c r="D20" s="857">
        <v>814139.26</v>
      </c>
      <c r="E20" s="813">
        <f t="shared" si="0"/>
        <v>50.04095157429933</v>
      </c>
    </row>
    <row r="21" spans="1:5" ht="19.5" customHeight="1">
      <c r="A21" s="838" t="s">
        <v>827</v>
      </c>
      <c r="B21" s="861" t="s">
        <v>505</v>
      </c>
      <c r="C21" s="857">
        <v>291982</v>
      </c>
      <c r="D21" s="857">
        <v>140359</v>
      </c>
      <c r="E21" s="813">
        <f t="shared" si="0"/>
        <v>48.071113972779145</v>
      </c>
    </row>
    <row r="22" spans="1:5" ht="19.5" customHeight="1" hidden="1">
      <c r="A22" s="838" t="s">
        <v>942</v>
      </c>
      <c r="B22" s="861" t="s">
        <v>1003</v>
      </c>
      <c r="C22" s="857">
        <v>0</v>
      </c>
      <c r="D22" s="857">
        <v>0</v>
      </c>
      <c r="E22" s="813" t="e">
        <f t="shared" si="0"/>
        <v>#DIV/0!</v>
      </c>
    </row>
    <row r="23" spans="1:5" ht="19.5" customHeight="1">
      <c r="A23" s="838" t="s">
        <v>942</v>
      </c>
      <c r="B23" s="861" t="s">
        <v>1016</v>
      </c>
      <c r="C23" s="857">
        <v>40905</v>
      </c>
      <c r="D23" s="857">
        <v>34087.72</v>
      </c>
      <c r="E23" s="813">
        <f t="shared" si="0"/>
        <v>83.33387116489426</v>
      </c>
    </row>
    <row r="24" spans="1:5" ht="19.5" customHeight="1">
      <c r="A24" s="838" t="s">
        <v>949</v>
      </c>
      <c r="B24" s="861" t="s">
        <v>1004</v>
      </c>
      <c r="C24" s="857">
        <v>64220</v>
      </c>
      <c r="D24" s="857">
        <v>23055.68</v>
      </c>
      <c r="E24" s="813">
        <f t="shared" si="0"/>
        <v>35.90109000311429</v>
      </c>
    </row>
    <row r="25" spans="1:5" ht="19.5" customHeight="1">
      <c r="A25" s="838" t="s">
        <v>950</v>
      </c>
      <c r="B25" s="861" t="s">
        <v>1005</v>
      </c>
      <c r="C25" s="857">
        <v>277400</v>
      </c>
      <c r="D25" s="857">
        <v>150310.17</v>
      </c>
      <c r="E25" s="813">
        <f t="shared" si="0"/>
        <v>54.185353280461435</v>
      </c>
    </row>
    <row r="26" spans="1:5" ht="19.5" customHeight="1">
      <c r="A26" s="838" t="s">
        <v>951</v>
      </c>
      <c r="B26" s="861" t="s">
        <v>1348</v>
      </c>
      <c r="C26" s="857">
        <v>18000</v>
      </c>
      <c r="D26" s="857">
        <v>2052</v>
      </c>
      <c r="E26" s="813">
        <f t="shared" si="0"/>
        <v>11.4</v>
      </c>
    </row>
    <row r="27" spans="1:5" ht="19.5" customHeight="1">
      <c r="A27" s="838" t="s">
        <v>281</v>
      </c>
      <c r="B27" s="861" t="s">
        <v>1461</v>
      </c>
      <c r="C27" s="857">
        <v>106820</v>
      </c>
      <c r="D27" s="857">
        <v>45793.96</v>
      </c>
      <c r="E27" s="813">
        <f t="shared" si="0"/>
        <v>42.87021157086688</v>
      </c>
    </row>
    <row r="28" spans="1:5" ht="19.5" customHeight="1">
      <c r="A28" s="838" t="s">
        <v>282</v>
      </c>
      <c r="B28" s="861" t="s">
        <v>145</v>
      </c>
      <c r="C28" s="857">
        <v>2400</v>
      </c>
      <c r="D28" s="857">
        <v>1636.82</v>
      </c>
      <c r="E28" s="813">
        <f t="shared" si="0"/>
        <v>68.20083333333334</v>
      </c>
    </row>
    <row r="29" spans="1:5" ht="19.5" customHeight="1">
      <c r="A29" s="838" t="s">
        <v>952</v>
      </c>
      <c r="B29" s="861" t="s">
        <v>1015</v>
      </c>
      <c r="C29" s="857">
        <v>174882</v>
      </c>
      <c r="D29" s="857">
        <v>86032.79</v>
      </c>
      <c r="E29" s="813">
        <f t="shared" si="0"/>
        <v>49.19476561338502</v>
      </c>
    </row>
    <row r="30" spans="1:5" ht="19.5" customHeight="1" hidden="1">
      <c r="A30" s="838" t="s">
        <v>954</v>
      </c>
      <c r="B30" s="861" t="s">
        <v>832</v>
      </c>
      <c r="C30" s="857"/>
      <c r="D30" s="857"/>
      <c r="E30" s="813" t="e">
        <f t="shared" si="0"/>
        <v>#DIV/0!</v>
      </c>
    </row>
    <row r="31" spans="1:5" ht="19.5" customHeight="1">
      <c r="A31" s="838" t="s">
        <v>954</v>
      </c>
      <c r="B31" s="861" t="s">
        <v>981</v>
      </c>
      <c r="C31" s="857">
        <v>262300</v>
      </c>
      <c r="D31" s="857">
        <v>131009</v>
      </c>
      <c r="E31" s="813">
        <f t="shared" si="0"/>
        <v>49.94624475791079</v>
      </c>
    </row>
    <row r="32" spans="1:5" ht="19.5" customHeight="1">
      <c r="A32" s="838" t="s">
        <v>283</v>
      </c>
      <c r="B32" s="861" t="s">
        <v>142</v>
      </c>
      <c r="C32" s="857">
        <v>1841795</v>
      </c>
      <c r="D32" s="857">
        <v>285309.49</v>
      </c>
      <c r="E32" s="813">
        <f t="shared" si="0"/>
        <v>15.490838556951234</v>
      </c>
    </row>
    <row r="33" spans="1:5" ht="19.5" customHeight="1" hidden="1">
      <c r="A33" s="838" t="s">
        <v>956</v>
      </c>
      <c r="B33" s="861" t="s">
        <v>1344</v>
      </c>
      <c r="C33" s="857">
        <v>0</v>
      </c>
      <c r="D33" s="857">
        <v>0</v>
      </c>
      <c r="E33" s="813" t="e">
        <f t="shared" si="0"/>
        <v>#DIV/0!</v>
      </c>
    </row>
    <row r="34" spans="1:5" ht="19.5" customHeight="1" thickBot="1">
      <c r="A34" s="862" t="s">
        <v>955</v>
      </c>
      <c r="B34" s="863" t="s">
        <v>1237</v>
      </c>
      <c r="C34" s="864">
        <v>3000</v>
      </c>
      <c r="D34" s="864">
        <v>1921.87</v>
      </c>
      <c r="E34" s="865">
        <f t="shared" si="0"/>
        <v>64.06233333333333</v>
      </c>
    </row>
    <row r="35" spans="1:5" s="3" customFormat="1" ht="27.75" customHeight="1" hidden="1" thickBot="1">
      <c r="A35" s="831" t="s">
        <v>1025</v>
      </c>
      <c r="B35" s="870" t="s">
        <v>833</v>
      </c>
      <c r="C35" s="871">
        <f>C8+C9-C19</f>
        <v>75000</v>
      </c>
      <c r="D35" s="871">
        <f>D8+D9-D19</f>
        <v>829090.4099999997</v>
      </c>
      <c r="E35" s="835" t="s">
        <v>831</v>
      </c>
    </row>
    <row r="36" spans="1:5" s="3" customFormat="1" ht="20.25" customHeight="1" thickBot="1">
      <c r="A36" s="1619" t="s">
        <v>1026</v>
      </c>
      <c r="B36" s="1624"/>
      <c r="C36" s="867">
        <f>SUM(C19,C35)</f>
        <v>4785650</v>
      </c>
      <c r="D36" s="867">
        <f>SUM(D19,D35)</f>
        <v>2544798.17</v>
      </c>
      <c r="E36" s="872">
        <f>D36/C36*100</f>
        <v>53.175601433452094</v>
      </c>
    </row>
    <row r="37" spans="2:4" ht="15.75" customHeight="1" hidden="1">
      <c r="B37" s="248" t="s">
        <v>76</v>
      </c>
      <c r="C37" s="873">
        <f>C18-C36</f>
        <v>0</v>
      </c>
      <c r="D37" s="873">
        <f>D18-D36</f>
        <v>0</v>
      </c>
    </row>
    <row r="38" spans="3:4" ht="15.75" customHeight="1">
      <c r="C38" s="248"/>
      <c r="D38" s="248"/>
    </row>
    <row r="39" spans="1:5" ht="15.75" customHeight="1">
      <c r="A39" s="874" t="s">
        <v>567</v>
      </c>
      <c r="B39" s="875" t="s">
        <v>1233</v>
      </c>
      <c r="C39" s="876">
        <f>SUM(C40:C41)</f>
        <v>75000</v>
      </c>
      <c r="D39" s="876">
        <f>SUM(D40:D41)</f>
        <v>71617.06</v>
      </c>
      <c r="E39" s="877">
        <f>D39/C39*100</f>
        <v>95.48941333333333</v>
      </c>
    </row>
    <row r="40" spans="1:5" ht="23.25" customHeight="1">
      <c r="A40" s="878" t="s">
        <v>826</v>
      </c>
      <c r="B40" s="879" t="s">
        <v>1234</v>
      </c>
      <c r="C40" s="880">
        <v>75000</v>
      </c>
      <c r="D40" s="880">
        <v>71617.06</v>
      </c>
      <c r="E40" s="881">
        <f>D40/C40*100</f>
        <v>95.48941333333333</v>
      </c>
    </row>
    <row r="41" spans="1:5" ht="26.25" customHeight="1" hidden="1" thickBot="1">
      <c r="A41" s="882" t="s">
        <v>827</v>
      </c>
      <c r="B41" s="686" t="s">
        <v>1232</v>
      </c>
      <c r="C41" s="883">
        <v>0</v>
      </c>
      <c r="D41" s="883">
        <v>0</v>
      </c>
      <c r="E41" s="280" t="e">
        <f>D41/C41*100</f>
        <v>#DIV/0!</v>
      </c>
    </row>
    <row r="42" spans="3:4" ht="15.75" customHeight="1">
      <c r="C42" s="248"/>
      <c r="D42" s="248"/>
    </row>
    <row r="43" spans="3:4" ht="15.75" customHeight="1">
      <c r="C43" s="248"/>
      <c r="D43" s="248"/>
    </row>
    <row r="44" spans="3:4" ht="15.75" customHeight="1">
      <c r="C44" s="248"/>
      <c r="D44" s="248"/>
    </row>
    <row r="45" spans="3:4" ht="15.75" customHeight="1">
      <c r="C45" s="248"/>
      <c r="D45" s="248"/>
    </row>
  </sheetData>
  <sheetProtection password="CF53" sheet="1" formatCells="0" formatColumns="0" formatRows="0" insertColumns="0" insertRows="0" insertHyperlinks="0" deleteColumns="0" deleteRows="0" sort="0" autoFilter="0" pivotTables="0"/>
  <mergeCells count="5">
    <mergeCell ref="D1:E1"/>
    <mergeCell ref="A3:E3"/>
    <mergeCell ref="A5:B5"/>
    <mergeCell ref="A18:B18"/>
    <mergeCell ref="A36:B36"/>
  </mergeCells>
  <printOptions/>
  <pageMargins left="0.7874015748031497" right="0.7874015748031497" top="0.984251968503937" bottom="0.984251968503937" header="0.5118110236220472" footer="0.5118110236220472"/>
  <pageSetup firstPageNumber="92" useFirstPageNumber="1" horizontalDpi="600" verticalDpi="600" orientation="portrait" paperSize="9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E43"/>
  <sheetViews>
    <sheetView view="pageBreakPreview" zoomScale="124" zoomScaleSheetLayoutView="124" zoomScalePageLayoutView="0" workbookViewId="0" topLeftCell="A18">
      <selection activeCell="K34" sqref="K34"/>
    </sheetView>
  </sheetViews>
  <sheetFormatPr defaultColWidth="9.00390625" defaultRowHeight="12.75"/>
  <cols>
    <col min="1" max="1" width="4.875" style="103" customWidth="1"/>
    <col min="2" max="2" width="51.625" style="82" customWidth="1"/>
    <col min="3" max="3" width="12.625" style="143" customWidth="1"/>
    <col min="4" max="4" width="11.625" style="143" customWidth="1"/>
    <col min="5" max="5" width="6.375" style="144" customWidth="1"/>
    <col min="6" max="16384" width="9.125" style="82" customWidth="1"/>
  </cols>
  <sheetData>
    <row r="1" spans="1:5" s="2" customFormat="1" ht="12.75">
      <c r="A1" s="247"/>
      <c r="C1" s="1135"/>
      <c r="D1" s="1439" t="s">
        <v>924</v>
      </c>
      <c r="E1" s="1439"/>
    </row>
    <row r="2" spans="1:5" s="2" customFormat="1" ht="12.75">
      <c r="A2" s="247"/>
      <c r="C2" s="1135"/>
      <c r="D2" s="1135"/>
      <c r="E2" s="1136"/>
    </row>
    <row r="3" spans="1:5" s="2" customFormat="1" ht="12.75">
      <c r="A3" s="1443" t="s">
        <v>332</v>
      </c>
      <c r="B3" s="1443"/>
      <c r="C3" s="1443"/>
      <c r="D3" s="1443"/>
      <c r="E3" s="1443"/>
    </row>
    <row r="4" spans="1:5" s="2" customFormat="1" ht="12.75">
      <c r="A4" s="247"/>
      <c r="C4" s="1135"/>
      <c r="D4" s="1135"/>
      <c r="E4" s="1136"/>
    </row>
    <row r="5" spans="1:5" s="2" customFormat="1" ht="13.5" thickBot="1">
      <c r="A5" s="1618" t="s">
        <v>447</v>
      </c>
      <c r="B5" s="1618"/>
      <c r="C5" s="1135"/>
      <c r="D5" s="1135"/>
      <c r="E5" s="1136" t="s">
        <v>169</v>
      </c>
    </row>
    <row r="6" spans="1:5" s="303" customFormat="1" ht="18" customHeight="1">
      <c r="A6" s="1132" t="s">
        <v>823</v>
      </c>
      <c r="B6" s="12" t="s">
        <v>171</v>
      </c>
      <c r="C6" s="1137" t="s">
        <v>172</v>
      </c>
      <c r="D6" s="1137" t="s">
        <v>173</v>
      </c>
      <c r="E6" s="851" t="s">
        <v>174</v>
      </c>
    </row>
    <row r="7" spans="1:5" s="303" customFormat="1" ht="10.5" customHeight="1" thickBot="1">
      <c r="A7" s="1138">
        <v>1</v>
      </c>
      <c r="B7" s="1139">
        <v>2</v>
      </c>
      <c r="C7" s="1140">
        <v>3</v>
      </c>
      <c r="D7" s="1140">
        <v>4</v>
      </c>
      <c r="E7" s="1141">
        <v>5</v>
      </c>
    </row>
    <row r="8" spans="1:5" s="303" customFormat="1" ht="18" customHeight="1" hidden="1">
      <c r="A8" s="256" t="s">
        <v>560</v>
      </c>
      <c r="B8" s="1142" t="s">
        <v>834</v>
      </c>
      <c r="C8" s="1143"/>
      <c r="D8" s="869"/>
      <c r="E8" s="810" t="s">
        <v>831</v>
      </c>
    </row>
    <row r="9" spans="1:5" s="1113" customFormat="1" ht="18" customHeight="1">
      <c r="A9" s="1144" t="s">
        <v>560</v>
      </c>
      <c r="B9" s="1145" t="s">
        <v>815</v>
      </c>
      <c r="C9" s="1146">
        <f>SUM(C10,C15,C18,C19)</f>
        <v>1840100</v>
      </c>
      <c r="D9" s="1146">
        <f>SUM(D10,D15,D18,D19)</f>
        <v>926410.63</v>
      </c>
      <c r="E9" s="1147">
        <f aca="true" t="shared" si="0" ref="E9:E37">D9/C9*100</f>
        <v>50.345667626759415</v>
      </c>
    </row>
    <row r="10" spans="1:5" s="718" customFormat="1" ht="18" customHeight="1">
      <c r="A10" s="838" t="s">
        <v>826</v>
      </c>
      <c r="B10" s="822" t="s">
        <v>1285</v>
      </c>
      <c r="C10" s="857">
        <f>SUM(C11:C14)</f>
        <v>37200</v>
      </c>
      <c r="D10" s="857">
        <f>SUM(D11:D14)</f>
        <v>19014.280000000002</v>
      </c>
      <c r="E10" s="814">
        <f t="shared" si="0"/>
        <v>51.113655913978505</v>
      </c>
    </row>
    <row r="11" spans="1:5" s="1149" customFormat="1" ht="18" customHeight="1">
      <c r="A11" s="847" t="s">
        <v>47</v>
      </c>
      <c r="B11" s="1148" t="s">
        <v>311</v>
      </c>
      <c r="C11" s="849">
        <v>27000</v>
      </c>
      <c r="D11" s="849">
        <v>8370</v>
      </c>
      <c r="E11" s="814">
        <f t="shared" si="0"/>
        <v>31</v>
      </c>
    </row>
    <row r="12" spans="1:5" s="1149" customFormat="1" ht="18" customHeight="1">
      <c r="A12" s="847" t="s">
        <v>48</v>
      </c>
      <c r="B12" s="1148" t="s">
        <v>1286</v>
      </c>
      <c r="C12" s="849">
        <v>2500</v>
      </c>
      <c r="D12" s="849">
        <v>1536.15</v>
      </c>
      <c r="E12" s="1150">
        <f t="shared" si="0"/>
        <v>61.446</v>
      </c>
    </row>
    <row r="13" spans="1:5" s="1149" customFormat="1" ht="18" customHeight="1">
      <c r="A13" s="847" t="s">
        <v>49</v>
      </c>
      <c r="B13" s="1148" t="s">
        <v>1345</v>
      </c>
      <c r="C13" s="849">
        <v>7700</v>
      </c>
      <c r="D13" s="849">
        <v>7948</v>
      </c>
      <c r="E13" s="1150">
        <f t="shared" si="0"/>
        <v>103.2207792207792</v>
      </c>
    </row>
    <row r="14" spans="1:5" s="1149" customFormat="1" ht="18" customHeight="1">
      <c r="A14" s="847" t="s">
        <v>54</v>
      </c>
      <c r="B14" s="1148" t="s">
        <v>1346</v>
      </c>
      <c r="C14" s="849">
        <v>0</v>
      </c>
      <c r="D14" s="849">
        <v>1160.13</v>
      </c>
      <c r="E14" s="1150" t="e">
        <f t="shared" si="0"/>
        <v>#DIV/0!</v>
      </c>
    </row>
    <row r="15" spans="1:5" s="718" customFormat="1" ht="22.5" customHeight="1">
      <c r="A15" s="838" t="s">
        <v>827</v>
      </c>
      <c r="B15" s="861" t="s">
        <v>1521</v>
      </c>
      <c r="C15" s="857">
        <f>SUM(C16,C17)</f>
        <v>1736700</v>
      </c>
      <c r="D15" s="857">
        <f>SUM(D16,D17)</f>
        <v>873000</v>
      </c>
      <c r="E15" s="814">
        <f t="shared" si="0"/>
        <v>50.267749179478315</v>
      </c>
    </row>
    <row r="16" spans="1:5" s="1149" customFormat="1" ht="18" customHeight="1">
      <c r="A16" s="847" t="s">
        <v>50</v>
      </c>
      <c r="B16" s="1148" t="s">
        <v>1235</v>
      </c>
      <c r="C16" s="849">
        <v>1586700</v>
      </c>
      <c r="D16" s="849">
        <v>873000</v>
      </c>
      <c r="E16" s="814">
        <f t="shared" si="0"/>
        <v>55.01985252410664</v>
      </c>
    </row>
    <row r="17" spans="1:5" s="1149" customFormat="1" ht="18" customHeight="1">
      <c r="A17" s="847" t="s">
        <v>51</v>
      </c>
      <c r="B17" s="1148" t="s">
        <v>313</v>
      </c>
      <c r="C17" s="849">
        <v>150000</v>
      </c>
      <c r="D17" s="849">
        <v>0</v>
      </c>
      <c r="E17" s="814">
        <f t="shared" si="0"/>
        <v>0</v>
      </c>
    </row>
    <row r="18" spans="1:5" s="718" customFormat="1" ht="22.5" customHeight="1" thickBot="1">
      <c r="A18" s="838" t="s">
        <v>942</v>
      </c>
      <c r="B18" s="680" t="s">
        <v>1347</v>
      </c>
      <c r="C18" s="857">
        <v>66200</v>
      </c>
      <c r="D18" s="857">
        <v>34396.35</v>
      </c>
      <c r="E18" s="814">
        <f t="shared" si="0"/>
        <v>51.95823262839879</v>
      </c>
    </row>
    <row r="19" spans="1:5" s="118" customFormat="1" ht="18" customHeight="1" hidden="1" thickBot="1">
      <c r="A19" s="137" t="s">
        <v>949</v>
      </c>
      <c r="B19" s="147" t="s">
        <v>1236</v>
      </c>
      <c r="C19" s="138">
        <v>0</v>
      </c>
      <c r="D19" s="138">
        <v>0</v>
      </c>
      <c r="E19" s="124" t="e">
        <f t="shared" si="0"/>
        <v>#DIV/0!</v>
      </c>
    </row>
    <row r="20" spans="1:5" s="119" customFormat="1" ht="18" customHeight="1" hidden="1" thickBot="1">
      <c r="A20" s="1625" t="s">
        <v>565</v>
      </c>
      <c r="B20" s="1626"/>
      <c r="C20" s="139">
        <f>SUM(C8,C9)</f>
        <v>1840100</v>
      </c>
      <c r="D20" s="139">
        <f>SUM(D8,D9)</f>
        <v>926410.63</v>
      </c>
      <c r="E20" s="148">
        <f t="shared" si="0"/>
        <v>50.345667626759415</v>
      </c>
    </row>
    <row r="21" spans="1:5" s="1113" customFormat="1" ht="18" customHeight="1">
      <c r="A21" s="256" t="s">
        <v>561</v>
      </c>
      <c r="B21" s="868" t="s">
        <v>881</v>
      </c>
      <c r="C21" s="869">
        <f>SUM(C22,C23,C24,C25,C26,C28,C31,C32,C33,C34,C35,C36,C37)</f>
        <v>1690100</v>
      </c>
      <c r="D21" s="869">
        <f>SUM(D22,D23,D24,D25,D26,D28,D31,D32,D33,D34,D35,D36,D37)</f>
        <v>795241.07</v>
      </c>
      <c r="E21" s="257">
        <f t="shared" si="0"/>
        <v>47.052900420093486</v>
      </c>
    </row>
    <row r="22" spans="1:5" s="718" customFormat="1" ht="18" customHeight="1">
      <c r="A22" s="838" t="s">
        <v>826</v>
      </c>
      <c r="B22" s="822" t="s">
        <v>62</v>
      </c>
      <c r="C22" s="857">
        <v>83500</v>
      </c>
      <c r="D22" s="857">
        <v>42700.03</v>
      </c>
      <c r="E22" s="814">
        <f t="shared" si="0"/>
        <v>51.137760479041916</v>
      </c>
    </row>
    <row r="23" spans="1:5" s="2" customFormat="1" ht="18" customHeight="1">
      <c r="A23" s="838" t="s">
        <v>827</v>
      </c>
      <c r="B23" s="861" t="s">
        <v>1250</v>
      </c>
      <c r="C23" s="857">
        <v>54000</v>
      </c>
      <c r="D23" s="857">
        <v>26392.34</v>
      </c>
      <c r="E23" s="814">
        <f t="shared" si="0"/>
        <v>48.8747037037037</v>
      </c>
    </row>
    <row r="24" spans="1:5" s="2" customFormat="1" ht="18" customHeight="1">
      <c r="A24" s="838" t="s">
        <v>942</v>
      </c>
      <c r="B24" s="861" t="s">
        <v>1287</v>
      </c>
      <c r="C24" s="857">
        <v>75000</v>
      </c>
      <c r="D24" s="857">
        <v>15753.87</v>
      </c>
      <c r="E24" s="814">
        <f t="shared" si="0"/>
        <v>21.00516</v>
      </c>
    </row>
    <row r="25" spans="1:5" s="2" customFormat="1" ht="18" customHeight="1">
      <c r="A25" s="838" t="s">
        <v>949</v>
      </c>
      <c r="B25" s="861" t="s">
        <v>1005</v>
      </c>
      <c r="C25" s="857">
        <v>94000</v>
      </c>
      <c r="D25" s="857">
        <v>54364.65</v>
      </c>
      <c r="E25" s="814">
        <f t="shared" si="0"/>
        <v>57.834734042553194</v>
      </c>
    </row>
    <row r="26" spans="1:5" s="2" customFormat="1" ht="18" customHeight="1">
      <c r="A26" s="838" t="s">
        <v>950</v>
      </c>
      <c r="B26" s="861" t="s">
        <v>1348</v>
      </c>
      <c r="C26" s="857">
        <v>153000</v>
      </c>
      <c r="D26" s="857">
        <v>61482.63</v>
      </c>
      <c r="E26" s="814">
        <f t="shared" si="0"/>
        <v>40.18472549019608</v>
      </c>
    </row>
    <row r="27" spans="1:5" s="90" customFormat="1" ht="18" customHeight="1" hidden="1">
      <c r="A27" s="135"/>
      <c r="B27" s="145" t="s">
        <v>1251</v>
      </c>
      <c r="C27" s="136">
        <v>0</v>
      </c>
      <c r="D27" s="136">
        <v>0</v>
      </c>
      <c r="E27" s="146" t="e">
        <f t="shared" si="0"/>
        <v>#DIV/0!</v>
      </c>
    </row>
    <row r="28" spans="1:5" s="2" customFormat="1" ht="18" customHeight="1">
      <c r="A28" s="838" t="s">
        <v>951</v>
      </c>
      <c r="B28" s="861" t="s">
        <v>63</v>
      </c>
      <c r="C28" s="857">
        <f>SUM(C29,C30)</f>
        <v>1000000</v>
      </c>
      <c r="D28" s="857">
        <f>SUM(D29,D30)</f>
        <v>483036.37</v>
      </c>
      <c r="E28" s="814">
        <f t="shared" si="0"/>
        <v>48.303637</v>
      </c>
    </row>
    <row r="29" spans="1:5" s="275" customFormat="1" ht="18" customHeight="1">
      <c r="A29" s="847" t="s">
        <v>1288</v>
      </c>
      <c r="B29" s="1148" t="s">
        <v>312</v>
      </c>
      <c r="C29" s="849">
        <v>970000</v>
      </c>
      <c r="D29" s="849">
        <v>458836.37</v>
      </c>
      <c r="E29" s="1150">
        <f t="shared" si="0"/>
        <v>47.30271855670103</v>
      </c>
    </row>
    <row r="30" spans="1:5" s="275" customFormat="1" ht="18" customHeight="1">
      <c r="A30" s="847" t="s">
        <v>1289</v>
      </c>
      <c r="B30" s="1148" t="s">
        <v>1249</v>
      </c>
      <c r="C30" s="849">
        <v>30000</v>
      </c>
      <c r="D30" s="849">
        <v>24200</v>
      </c>
      <c r="E30" s="1150">
        <f t="shared" si="0"/>
        <v>80.66666666666666</v>
      </c>
    </row>
    <row r="31" spans="1:5" s="2" customFormat="1" ht="18" customHeight="1">
      <c r="A31" s="838" t="s">
        <v>281</v>
      </c>
      <c r="B31" s="861" t="s">
        <v>505</v>
      </c>
      <c r="C31" s="857">
        <v>170100</v>
      </c>
      <c r="D31" s="857">
        <v>78030.64</v>
      </c>
      <c r="E31" s="814">
        <f t="shared" si="0"/>
        <v>45.87339212228101</v>
      </c>
    </row>
    <row r="32" spans="1:5" s="2" customFormat="1" ht="18" customHeight="1">
      <c r="A32" s="838" t="s">
        <v>282</v>
      </c>
      <c r="B32" s="861" t="s">
        <v>145</v>
      </c>
      <c r="C32" s="857">
        <v>3000</v>
      </c>
      <c r="D32" s="857">
        <v>877.52</v>
      </c>
      <c r="E32" s="814">
        <f t="shared" si="0"/>
        <v>29.250666666666664</v>
      </c>
    </row>
    <row r="33" spans="1:5" s="2" customFormat="1" ht="18" customHeight="1">
      <c r="A33" s="838" t="s">
        <v>952</v>
      </c>
      <c r="B33" s="861" t="s">
        <v>1252</v>
      </c>
      <c r="C33" s="857">
        <v>25000</v>
      </c>
      <c r="D33" s="857">
        <v>10197</v>
      </c>
      <c r="E33" s="814">
        <f t="shared" si="0"/>
        <v>40.788000000000004</v>
      </c>
    </row>
    <row r="34" spans="1:5" s="2" customFormat="1" ht="18.75" customHeight="1">
      <c r="A34" s="838" t="s">
        <v>954</v>
      </c>
      <c r="B34" s="861" t="s">
        <v>1016</v>
      </c>
      <c r="C34" s="857">
        <v>25000</v>
      </c>
      <c r="D34" s="857">
        <v>20230.33</v>
      </c>
      <c r="E34" s="814">
        <f t="shared" si="0"/>
        <v>80.92132000000001</v>
      </c>
    </row>
    <row r="35" spans="1:5" s="2" customFormat="1" ht="18.75" customHeight="1">
      <c r="A35" s="838" t="s">
        <v>283</v>
      </c>
      <c r="B35" s="861" t="s">
        <v>146</v>
      </c>
      <c r="C35" s="857">
        <v>4000</v>
      </c>
      <c r="D35" s="857">
        <v>1091.75</v>
      </c>
      <c r="E35" s="814">
        <f t="shared" si="0"/>
        <v>27.29375</v>
      </c>
    </row>
    <row r="36" spans="1:5" s="2" customFormat="1" ht="18.75" customHeight="1" thickBot="1">
      <c r="A36" s="862" t="s">
        <v>955</v>
      </c>
      <c r="B36" s="863" t="s">
        <v>1237</v>
      </c>
      <c r="C36" s="864">
        <v>3500</v>
      </c>
      <c r="D36" s="864">
        <v>1083.94</v>
      </c>
      <c r="E36" s="280">
        <f t="shared" si="0"/>
        <v>30.96971428571429</v>
      </c>
    </row>
    <row r="37" spans="1:5" ht="21" customHeight="1" hidden="1">
      <c r="A37" s="104" t="s">
        <v>955</v>
      </c>
      <c r="B37" s="108" t="s">
        <v>832</v>
      </c>
      <c r="C37" s="149">
        <v>0</v>
      </c>
      <c r="D37" s="149">
        <v>0</v>
      </c>
      <c r="E37" s="150" t="e">
        <f t="shared" si="0"/>
        <v>#DIV/0!</v>
      </c>
    </row>
    <row r="38" spans="1:5" s="119" customFormat="1" ht="19.5" customHeight="1" hidden="1" thickBot="1">
      <c r="A38" s="128" t="s">
        <v>1025</v>
      </c>
      <c r="B38" s="141" t="s">
        <v>833</v>
      </c>
      <c r="C38" s="151">
        <f>C8+C9-C21</f>
        <v>150000</v>
      </c>
      <c r="D38" s="142">
        <f>D8+D9-D21</f>
        <v>131169.56000000006</v>
      </c>
      <c r="E38" s="129" t="s">
        <v>831</v>
      </c>
    </row>
    <row r="39" spans="1:5" s="83" customFormat="1" ht="18" customHeight="1" hidden="1" thickBot="1">
      <c r="A39" s="1625" t="s">
        <v>1026</v>
      </c>
      <c r="B39" s="1626"/>
      <c r="C39" s="139">
        <f>C21+C38</f>
        <v>1840100</v>
      </c>
      <c r="D39" s="139">
        <f>D21+D38</f>
        <v>926410.63</v>
      </c>
      <c r="E39" s="148">
        <f>D39/C39*100</f>
        <v>50.345667626759415</v>
      </c>
    </row>
    <row r="40" ht="12.75">
      <c r="B40" s="97"/>
    </row>
    <row r="41" spans="1:5" s="2" customFormat="1" ht="13.5" thickBot="1">
      <c r="A41" s="247"/>
      <c r="C41" s="1135"/>
      <c r="D41" s="1135"/>
      <c r="E41" s="1136"/>
    </row>
    <row r="42" spans="1:5" s="2" customFormat="1" ht="20.25" customHeight="1">
      <c r="A42" s="256" t="s">
        <v>567</v>
      </c>
      <c r="B42" s="868" t="s">
        <v>1233</v>
      </c>
      <c r="C42" s="869">
        <f>SUM(C43)</f>
        <v>150000</v>
      </c>
      <c r="D42" s="869">
        <f>SUM(D43)</f>
        <v>0</v>
      </c>
      <c r="E42" s="257">
        <f>D42/C42*100</f>
        <v>0</v>
      </c>
    </row>
    <row r="43" spans="1:5" s="2" customFormat="1" ht="27" customHeight="1" thickBot="1">
      <c r="A43" s="882" t="s">
        <v>826</v>
      </c>
      <c r="B43" s="1151" t="s">
        <v>1234</v>
      </c>
      <c r="C43" s="883">
        <v>150000</v>
      </c>
      <c r="D43" s="883">
        <v>0</v>
      </c>
      <c r="E43" s="1152">
        <f>D43/C43*100</f>
        <v>0</v>
      </c>
    </row>
  </sheetData>
  <sheetProtection password="CF53" sheet="1" formatCells="0" formatColumns="0" formatRows="0" insertColumns="0" insertRows="0" insertHyperlinks="0" deleteColumns="0" deleteRows="0" sort="0" autoFilter="0" pivotTables="0"/>
  <mergeCells count="5">
    <mergeCell ref="D1:E1"/>
    <mergeCell ref="A3:E3"/>
    <mergeCell ref="A5:B5"/>
    <mergeCell ref="A20:B20"/>
    <mergeCell ref="A39:B39"/>
  </mergeCells>
  <printOptions/>
  <pageMargins left="0.7480314960629921" right="0.7480314960629921" top="0.984251968503937" bottom="0.984251968503937" header="0.5118110236220472" footer="0.5118110236220472"/>
  <pageSetup firstPageNumber="93" useFirstPageNumber="1" horizontalDpi="600" verticalDpi="600" orientation="portrait" paperSize="9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E48"/>
  <sheetViews>
    <sheetView view="pageBreakPreview" zoomScale="130" zoomScaleSheetLayoutView="130" zoomScalePageLayoutView="0" workbookViewId="0" topLeftCell="A4">
      <selection activeCell="B44" sqref="B44"/>
    </sheetView>
  </sheetViews>
  <sheetFormatPr defaultColWidth="9.00390625" defaultRowHeight="15.75" customHeight="1"/>
  <cols>
    <col min="1" max="1" width="4.875" style="103" customWidth="1"/>
    <col min="2" max="2" width="54.25390625" style="82" customWidth="1"/>
    <col min="3" max="3" width="11.75390625" style="82" customWidth="1"/>
    <col min="4" max="4" width="11.375" style="82" customWidth="1"/>
    <col min="5" max="5" width="5.375" style="82" customWidth="1"/>
    <col min="6" max="16384" width="9.125" style="82" customWidth="1"/>
  </cols>
  <sheetData>
    <row r="1" spans="1:5" s="2" customFormat="1" ht="15.75" customHeight="1">
      <c r="A1" s="247"/>
      <c r="D1" s="1439" t="s">
        <v>923</v>
      </c>
      <c r="E1" s="1439"/>
    </row>
    <row r="2" s="2" customFormat="1" ht="15.75" customHeight="1">
      <c r="A2" s="247"/>
    </row>
    <row r="3" spans="1:5" s="2" customFormat="1" ht="15.75" customHeight="1">
      <c r="A3" s="1443" t="s">
        <v>882</v>
      </c>
      <c r="B3" s="1443"/>
      <c r="C3" s="1443"/>
      <c r="D3" s="1443"/>
      <c r="E3" s="1443"/>
    </row>
    <row r="4" s="2" customFormat="1" ht="11.25" customHeight="1">
      <c r="A4" s="247"/>
    </row>
    <row r="5" spans="1:5" s="2" customFormat="1" ht="15.75" customHeight="1" thickBot="1">
      <c r="A5" s="1618" t="s">
        <v>928</v>
      </c>
      <c r="B5" s="1618"/>
      <c r="E5" s="248" t="s">
        <v>169</v>
      </c>
    </row>
    <row r="6" spans="1:5" s="1" customFormat="1" ht="18" customHeight="1">
      <c r="A6" s="1132" t="s">
        <v>823</v>
      </c>
      <c r="B6" s="12" t="s">
        <v>171</v>
      </c>
      <c r="C6" s="12" t="s">
        <v>172</v>
      </c>
      <c r="D6" s="12" t="s">
        <v>173</v>
      </c>
      <c r="E6" s="851" t="s">
        <v>174</v>
      </c>
    </row>
    <row r="7" spans="1:5" s="3" customFormat="1" ht="10.5" customHeight="1">
      <c r="A7" s="1133">
        <v>1</v>
      </c>
      <c r="B7" s="316">
        <v>2</v>
      </c>
      <c r="C7" s="316">
        <v>3</v>
      </c>
      <c r="D7" s="316">
        <v>4</v>
      </c>
      <c r="E7" s="852">
        <v>5</v>
      </c>
    </row>
    <row r="8" spans="1:5" s="3" customFormat="1" ht="19.5" customHeight="1" hidden="1">
      <c r="A8" s="853" t="s">
        <v>560</v>
      </c>
      <c r="B8" s="854" t="s">
        <v>834</v>
      </c>
      <c r="C8" s="855"/>
      <c r="D8" s="855"/>
      <c r="E8" s="836" t="s">
        <v>831</v>
      </c>
    </row>
    <row r="9" spans="1:5" s="2" customFormat="1" ht="19.5" customHeight="1">
      <c r="A9" s="853" t="s">
        <v>560</v>
      </c>
      <c r="B9" s="856" t="s">
        <v>815</v>
      </c>
      <c r="C9" s="855">
        <f>SUM(C10:C17)</f>
        <v>953370</v>
      </c>
      <c r="D9" s="855">
        <f>SUM(D10:D17)</f>
        <v>441661.59</v>
      </c>
      <c r="E9" s="812">
        <f aca="true" t="shared" si="0" ref="E9:E34">D9/C9*100</f>
        <v>46.32635702822619</v>
      </c>
    </row>
    <row r="10" spans="1:5" s="2" customFormat="1" ht="19.5" customHeight="1">
      <c r="A10" s="838" t="s">
        <v>826</v>
      </c>
      <c r="B10" s="822" t="s">
        <v>1231</v>
      </c>
      <c r="C10" s="857">
        <v>614670</v>
      </c>
      <c r="D10" s="857">
        <v>380000</v>
      </c>
      <c r="E10" s="813">
        <f t="shared" si="0"/>
        <v>61.821790554281165</v>
      </c>
    </row>
    <row r="11" spans="1:5" s="718" customFormat="1" ht="19.5" customHeight="1">
      <c r="A11" s="838" t="s">
        <v>827</v>
      </c>
      <c r="B11" s="861" t="s">
        <v>1234</v>
      </c>
      <c r="C11" s="1354">
        <v>187500</v>
      </c>
      <c r="D11" s="857">
        <v>7500</v>
      </c>
      <c r="E11" s="813">
        <f t="shared" si="0"/>
        <v>4</v>
      </c>
    </row>
    <row r="12" spans="1:5" ht="20.25" customHeight="1" hidden="1">
      <c r="A12" s="131"/>
      <c r="B12" s="127" t="s">
        <v>1238</v>
      </c>
      <c r="C12" s="134"/>
      <c r="D12" s="134"/>
      <c r="E12" s="123" t="e">
        <f t="shared" si="0"/>
        <v>#DIV/0!</v>
      </c>
    </row>
    <row r="13" spans="1:5" ht="20.25" customHeight="1" hidden="1">
      <c r="A13" s="131" t="s">
        <v>942</v>
      </c>
      <c r="B13" s="127" t="s">
        <v>1291</v>
      </c>
      <c r="C13" s="134">
        <v>0</v>
      </c>
      <c r="D13" s="134">
        <v>0</v>
      </c>
      <c r="E13" s="123" t="e">
        <f t="shared" si="0"/>
        <v>#DIV/0!</v>
      </c>
    </row>
    <row r="14" spans="1:5" s="2" customFormat="1" ht="19.5" customHeight="1">
      <c r="A14" s="838" t="s">
        <v>942</v>
      </c>
      <c r="B14" s="861" t="s">
        <v>143</v>
      </c>
      <c r="C14" s="857">
        <v>150000</v>
      </c>
      <c r="D14" s="857">
        <v>53586.77</v>
      </c>
      <c r="E14" s="813">
        <f t="shared" si="0"/>
        <v>35.72451333333333</v>
      </c>
    </row>
    <row r="15" spans="1:5" ht="19.5" customHeight="1" hidden="1">
      <c r="A15" s="131" t="s">
        <v>949</v>
      </c>
      <c r="B15" s="127" t="s">
        <v>1255</v>
      </c>
      <c r="C15" s="134">
        <v>0</v>
      </c>
      <c r="D15" s="134">
        <v>0</v>
      </c>
      <c r="E15" s="123" t="e">
        <f t="shared" si="0"/>
        <v>#DIV/0!</v>
      </c>
    </row>
    <row r="16" spans="1:5" ht="19.5" customHeight="1" hidden="1">
      <c r="A16" s="131" t="s">
        <v>950</v>
      </c>
      <c r="B16" s="127" t="s">
        <v>1290</v>
      </c>
      <c r="C16" s="134">
        <v>0</v>
      </c>
      <c r="D16" s="134">
        <v>0</v>
      </c>
      <c r="E16" s="123" t="e">
        <f t="shared" si="0"/>
        <v>#DIV/0!</v>
      </c>
    </row>
    <row r="17" spans="1:5" s="2" customFormat="1" ht="19.5" customHeight="1" thickBot="1">
      <c r="A17" s="1153" t="s">
        <v>949</v>
      </c>
      <c r="B17" s="1154" t="s">
        <v>506</v>
      </c>
      <c r="C17" s="1155">
        <v>1200</v>
      </c>
      <c r="D17" s="1155">
        <v>574.82</v>
      </c>
      <c r="E17" s="1156">
        <f t="shared" si="0"/>
        <v>47.90166666666667</v>
      </c>
    </row>
    <row r="18" spans="1:5" ht="19.5" customHeight="1" hidden="1" thickBot="1">
      <c r="A18" s="137" t="s">
        <v>282</v>
      </c>
      <c r="B18" s="140" t="s">
        <v>144</v>
      </c>
      <c r="C18" s="138">
        <v>0</v>
      </c>
      <c r="D18" s="138">
        <v>0</v>
      </c>
      <c r="E18" s="111" t="e">
        <f t="shared" si="0"/>
        <v>#DIV/0!</v>
      </c>
    </row>
    <row r="19" spans="1:5" s="83" customFormat="1" ht="19.5" customHeight="1" hidden="1" thickBot="1">
      <c r="A19" s="1627" t="s">
        <v>565</v>
      </c>
      <c r="B19" s="1628"/>
      <c r="C19" s="152">
        <f>SUM(C8,C9)</f>
        <v>953370</v>
      </c>
      <c r="D19" s="152">
        <f>SUM(D8,D9)</f>
        <v>441661.59</v>
      </c>
      <c r="E19" s="120">
        <f t="shared" si="0"/>
        <v>46.32635702822619</v>
      </c>
    </row>
    <row r="20" spans="1:5" s="3" customFormat="1" ht="19.5" customHeight="1">
      <c r="A20" s="256" t="s">
        <v>561</v>
      </c>
      <c r="B20" s="868" t="s">
        <v>881</v>
      </c>
      <c r="C20" s="869">
        <f>SUM(C21:C36)</f>
        <v>765870</v>
      </c>
      <c r="D20" s="869">
        <f>SUM(D21:D36)</f>
        <v>357555.92</v>
      </c>
      <c r="E20" s="837">
        <f t="shared" si="0"/>
        <v>46.68624179038218</v>
      </c>
    </row>
    <row r="21" spans="1:5" s="83" customFormat="1" ht="19.5" customHeight="1" hidden="1">
      <c r="A21" s="131" t="s">
        <v>826</v>
      </c>
      <c r="B21" s="133" t="s">
        <v>62</v>
      </c>
      <c r="C21" s="134">
        <v>0</v>
      </c>
      <c r="D21" s="134">
        <v>0</v>
      </c>
      <c r="E21" s="123" t="e">
        <f t="shared" si="0"/>
        <v>#DIV/0!</v>
      </c>
    </row>
    <row r="22" spans="1:5" s="2" customFormat="1" ht="19.5" customHeight="1">
      <c r="A22" s="838" t="s">
        <v>826</v>
      </c>
      <c r="B22" s="861" t="s">
        <v>570</v>
      </c>
      <c r="C22" s="857">
        <v>438160</v>
      </c>
      <c r="D22" s="857">
        <v>215907.35</v>
      </c>
      <c r="E22" s="813">
        <f t="shared" si="0"/>
        <v>49.27591519079788</v>
      </c>
    </row>
    <row r="23" spans="1:5" s="2" customFormat="1" ht="19.5" customHeight="1">
      <c r="A23" s="838" t="s">
        <v>827</v>
      </c>
      <c r="B23" s="861" t="s">
        <v>1003</v>
      </c>
      <c r="C23" s="857">
        <v>8000</v>
      </c>
      <c r="D23" s="857">
        <v>1800</v>
      </c>
      <c r="E23" s="813">
        <f t="shared" si="0"/>
        <v>22.5</v>
      </c>
    </row>
    <row r="24" spans="1:5" s="2" customFormat="1" ht="19.5" customHeight="1">
      <c r="A24" s="838" t="s">
        <v>942</v>
      </c>
      <c r="B24" s="861" t="s">
        <v>1413</v>
      </c>
      <c r="C24" s="857">
        <v>9710</v>
      </c>
      <c r="D24" s="857">
        <v>3474.41</v>
      </c>
      <c r="E24" s="813">
        <f t="shared" si="0"/>
        <v>35.78177136972193</v>
      </c>
    </row>
    <row r="25" spans="1:5" s="2" customFormat="1" ht="21.75" customHeight="1">
      <c r="A25" s="838" t="s">
        <v>949</v>
      </c>
      <c r="B25" s="822" t="s">
        <v>162</v>
      </c>
      <c r="C25" s="857">
        <v>73800</v>
      </c>
      <c r="D25" s="857">
        <v>34321.94</v>
      </c>
      <c r="E25" s="813">
        <f t="shared" si="0"/>
        <v>46.50669376693767</v>
      </c>
    </row>
    <row r="26" spans="1:5" s="2" customFormat="1" ht="19.5" customHeight="1">
      <c r="A26" s="838" t="s">
        <v>950</v>
      </c>
      <c r="B26" s="861" t="s">
        <v>1004</v>
      </c>
      <c r="C26" s="857">
        <v>14500</v>
      </c>
      <c r="D26" s="857">
        <v>7018.57</v>
      </c>
      <c r="E26" s="813">
        <f aca="true" t="shared" si="1" ref="E26:E32">D26/C26*100</f>
        <v>48.40393103448275</v>
      </c>
    </row>
    <row r="27" spans="1:5" s="2" customFormat="1" ht="19.5" customHeight="1">
      <c r="A27" s="838" t="s">
        <v>951</v>
      </c>
      <c r="B27" s="861" t="s">
        <v>1005</v>
      </c>
      <c r="C27" s="857">
        <v>44000</v>
      </c>
      <c r="D27" s="857">
        <v>17270.93</v>
      </c>
      <c r="E27" s="813">
        <f t="shared" si="1"/>
        <v>39.25211363636364</v>
      </c>
    </row>
    <row r="28" spans="1:5" ht="19.5" customHeight="1" hidden="1">
      <c r="A28" s="131" t="s">
        <v>282</v>
      </c>
      <c r="B28" s="133" t="s">
        <v>1006</v>
      </c>
      <c r="C28" s="134">
        <v>0</v>
      </c>
      <c r="D28" s="134">
        <v>0</v>
      </c>
      <c r="E28" s="123" t="e">
        <f t="shared" si="1"/>
        <v>#DIV/0!</v>
      </c>
    </row>
    <row r="29" spans="1:5" s="2" customFormat="1" ht="19.5" customHeight="1">
      <c r="A29" s="838" t="s">
        <v>281</v>
      </c>
      <c r="B29" s="861" t="s">
        <v>1348</v>
      </c>
      <c r="C29" s="857">
        <v>150300</v>
      </c>
      <c r="D29" s="857">
        <v>74771.78</v>
      </c>
      <c r="E29" s="813">
        <f t="shared" si="1"/>
        <v>49.74835662009315</v>
      </c>
    </row>
    <row r="30" spans="1:5" s="2" customFormat="1" ht="19.5" customHeight="1">
      <c r="A30" s="838" t="s">
        <v>282</v>
      </c>
      <c r="B30" s="861" t="s">
        <v>1522</v>
      </c>
      <c r="C30" s="857">
        <v>1000</v>
      </c>
      <c r="D30" s="857">
        <v>3.21</v>
      </c>
      <c r="E30" s="813">
        <f t="shared" si="1"/>
        <v>0.321</v>
      </c>
    </row>
    <row r="31" spans="1:5" ht="19.5" customHeight="1" hidden="1">
      <c r="A31" s="131" t="s">
        <v>282</v>
      </c>
      <c r="B31" s="133" t="s">
        <v>145</v>
      </c>
      <c r="C31" s="134">
        <v>0</v>
      </c>
      <c r="D31" s="134">
        <v>0</v>
      </c>
      <c r="E31" s="123" t="e">
        <f t="shared" si="1"/>
        <v>#DIV/0!</v>
      </c>
    </row>
    <row r="32" spans="1:5" s="2" customFormat="1" ht="19.5" customHeight="1">
      <c r="A32" s="838" t="s">
        <v>952</v>
      </c>
      <c r="B32" s="861" t="s">
        <v>1292</v>
      </c>
      <c r="C32" s="857">
        <v>1640</v>
      </c>
      <c r="D32" s="857">
        <v>415</v>
      </c>
      <c r="E32" s="813">
        <f t="shared" si="1"/>
        <v>25.304878048780488</v>
      </c>
    </row>
    <row r="33" spans="1:5" s="2" customFormat="1" ht="19.5" customHeight="1">
      <c r="A33" s="838" t="s">
        <v>954</v>
      </c>
      <c r="B33" s="861" t="s">
        <v>478</v>
      </c>
      <c r="C33" s="857">
        <v>11300</v>
      </c>
      <c r="D33" s="857">
        <v>250</v>
      </c>
      <c r="E33" s="813">
        <f t="shared" si="0"/>
        <v>2.2123893805309733</v>
      </c>
    </row>
    <row r="34" spans="1:5" s="2" customFormat="1" ht="19.5" customHeight="1">
      <c r="A34" s="838" t="s">
        <v>283</v>
      </c>
      <c r="B34" s="861" t="s">
        <v>962</v>
      </c>
      <c r="C34" s="857">
        <v>2000</v>
      </c>
      <c r="D34" s="857">
        <v>498.76</v>
      </c>
      <c r="E34" s="813">
        <f t="shared" si="0"/>
        <v>24.938</v>
      </c>
    </row>
    <row r="35" spans="1:5" s="2" customFormat="1" ht="19.5" customHeight="1">
      <c r="A35" s="838" t="s">
        <v>955</v>
      </c>
      <c r="B35" s="861" t="s">
        <v>1237</v>
      </c>
      <c r="C35" s="857">
        <v>11460</v>
      </c>
      <c r="D35" s="857">
        <v>1823.97</v>
      </c>
      <c r="E35" s="813">
        <f>D35/C35*100</f>
        <v>15.915968586387436</v>
      </c>
    </row>
    <row r="36" spans="1:5" s="2" customFormat="1" ht="4.5" customHeight="1" thickBot="1">
      <c r="A36" s="862"/>
      <c r="B36" s="863"/>
      <c r="C36" s="864"/>
      <c r="D36" s="864"/>
      <c r="E36" s="865"/>
    </row>
    <row r="37" spans="1:5" s="2" customFormat="1" ht="27" customHeight="1" hidden="1">
      <c r="A37" s="818" t="s">
        <v>958</v>
      </c>
      <c r="B37" s="1157" t="s">
        <v>1239</v>
      </c>
      <c r="C37" s="1158"/>
      <c r="D37" s="1158"/>
      <c r="E37" s="1159" t="e">
        <f>D37/C37*100</f>
        <v>#DIV/0!</v>
      </c>
    </row>
    <row r="38" spans="1:5" s="2" customFormat="1" ht="19.5" customHeight="1" hidden="1">
      <c r="A38" s="1094" t="s">
        <v>958</v>
      </c>
      <c r="B38" s="823" t="s">
        <v>1240</v>
      </c>
      <c r="C38" s="1160">
        <v>0</v>
      </c>
      <c r="D38" s="1160">
        <v>0</v>
      </c>
      <c r="E38" s="1161" t="e">
        <f>D38/C38*100</f>
        <v>#DIV/0!</v>
      </c>
    </row>
    <row r="39" spans="1:5" s="3" customFormat="1" ht="19.5" customHeight="1" hidden="1">
      <c r="A39" s="874" t="s">
        <v>1025</v>
      </c>
      <c r="B39" s="1162" t="s">
        <v>833</v>
      </c>
      <c r="C39" s="876">
        <f>C8+C9-C20</f>
        <v>187500</v>
      </c>
      <c r="D39" s="876">
        <f>D8+D9-D20</f>
        <v>84105.67000000004</v>
      </c>
      <c r="E39" s="1163" t="s">
        <v>831</v>
      </c>
    </row>
    <row r="40" spans="1:5" s="3" customFormat="1" ht="20.25" customHeight="1" hidden="1" thickBot="1">
      <c r="A40" s="1629" t="s">
        <v>1026</v>
      </c>
      <c r="B40" s="1630"/>
      <c r="C40" s="1164">
        <f>SUM(C20,C39)</f>
        <v>953370</v>
      </c>
      <c r="D40" s="1164">
        <f>SUM(D20,D39)</f>
        <v>441661.59</v>
      </c>
      <c r="E40" s="1165">
        <f>D40/C40*100</f>
        <v>46.32635702822619</v>
      </c>
    </row>
    <row r="41" spans="1:4" s="2" customFormat="1" ht="15.75" customHeight="1" hidden="1">
      <c r="A41" s="247"/>
      <c r="B41" s="248" t="s">
        <v>76</v>
      </c>
      <c r="C41" s="873"/>
      <c r="D41" s="873">
        <f>D19-D40</f>
        <v>0</v>
      </c>
    </row>
    <row r="42" spans="1:4" s="2" customFormat="1" ht="15.75" customHeight="1" thickBot="1">
      <c r="A42" s="247"/>
      <c r="C42" s="248"/>
      <c r="D42" s="248"/>
    </row>
    <row r="43" spans="1:5" s="2" customFormat="1" ht="18" customHeight="1">
      <c r="A43" s="256" t="s">
        <v>567</v>
      </c>
      <c r="B43" s="868" t="s">
        <v>1233</v>
      </c>
      <c r="C43" s="869">
        <f>SUM(C44,C45)</f>
        <v>258500</v>
      </c>
      <c r="D43" s="869">
        <f>SUM(D44,D45)</f>
        <v>79187.49</v>
      </c>
      <c r="E43" s="257">
        <f>D43/C43*100</f>
        <v>30.6334584139265</v>
      </c>
    </row>
    <row r="44" spans="1:5" s="2" customFormat="1" ht="20.25" customHeight="1" thickBot="1">
      <c r="A44" s="862" t="s">
        <v>826</v>
      </c>
      <c r="B44" s="866" t="s">
        <v>1523</v>
      </c>
      <c r="C44" s="1355">
        <v>258500</v>
      </c>
      <c r="D44" s="1355">
        <v>79187.49</v>
      </c>
      <c r="E44" s="280">
        <f>D44/C44*100</f>
        <v>30.6334584139265</v>
      </c>
    </row>
    <row r="45" spans="1:5" ht="23.25" customHeight="1" hidden="1" thickBot="1">
      <c r="A45" s="137" t="s">
        <v>827</v>
      </c>
      <c r="B45" s="140" t="s">
        <v>1256</v>
      </c>
      <c r="C45" s="138">
        <v>0</v>
      </c>
      <c r="D45" s="138">
        <v>0</v>
      </c>
      <c r="E45" s="111" t="e">
        <f>D45/C45*100</f>
        <v>#DIV/0!</v>
      </c>
    </row>
    <row r="46" spans="3:4" ht="15.75" customHeight="1">
      <c r="C46" s="97"/>
      <c r="D46" s="97"/>
    </row>
    <row r="47" spans="3:4" ht="15.75" customHeight="1">
      <c r="C47" s="97"/>
      <c r="D47" s="97"/>
    </row>
    <row r="48" spans="3:4" ht="15.75" customHeight="1">
      <c r="C48" s="97"/>
      <c r="D48" s="97"/>
    </row>
  </sheetData>
  <sheetProtection password="CF53" sheet="1" formatCells="0" formatColumns="0" formatRows="0" insertColumns="0" insertRows="0" insertHyperlinks="0" deleteColumns="0" deleteRows="0" sort="0" autoFilter="0" pivotTables="0"/>
  <mergeCells count="5">
    <mergeCell ref="D1:E1"/>
    <mergeCell ref="A3:E3"/>
    <mergeCell ref="A5:B5"/>
    <mergeCell ref="A19:B19"/>
    <mergeCell ref="A40:B40"/>
  </mergeCells>
  <printOptions/>
  <pageMargins left="0.7480314960629921" right="0.7480314960629921" top="0.984251968503937" bottom="0.984251968503937" header="0.5118110236220472" footer="0.5118110236220472"/>
  <pageSetup firstPageNumber="94" useFirstPageNumber="1" horizontalDpi="600" verticalDpi="600" orientation="portrait" paperSize="9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E57"/>
  <sheetViews>
    <sheetView view="pageBreakPreview" zoomScale="124" zoomScaleSheetLayoutView="124" zoomScalePageLayoutView="0" workbookViewId="0" topLeftCell="A1">
      <pane ySplit="7" topLeftCell="A45" activePane="bottomLeft" state="frozen"/>
      <selection pane="topLeft" activeCell="I244" sqref="I244"/>
      <selection pane="bottomLeft" activeCell="G48" sqref="G48"/>
    </sheetView>
  </sheetViews>
  <sheetFormatPr defaultColWidth="9.00390625" defaultRowHeight="12.75"/>
  <cols>
    <col min="1" max="1" width="5.125" style="884" customWidth="1"/>
    <col min="2" max="2" width="38.125" style="885" customWidth="1"/>
    <col min="3" max="3" width="18.25390625" style="886" customWidth="1"/>
    <col min="4" max="4" width="16.25390625" style="886" customWidth="1"/>
    <col min="5" max="5" width="8.00390625" style="885" customWidth="1"/>
    <col min="6" max="16384" width="9.125" style="885" customWidth="1"/>
  </cols>
  <sheetData>
    <row r="1" spans="4:5" ht="12.75">
      <c r="D1" s="1631" t="s">
        <v>922</v>
      </c>
      <c r="E1" s="1631"/>
    </row>
    <row r="2" ht="39.75" customHeight="1"/>
    <row r="3" spans="1:5" ht="26.25" customHeight="1">
      <c r="A3" s="1632" t="s">
        <v>589</v>
      </c>
      <c r="B3" s="1632"/>
      <c r="C3" s="1632"/>
      <c r="D3" s="1632"/>
      <c r="E3" s="1632"/>
    </row>
    <row r="4" spans="1:5" ht="9" customHeight="1">
      <c r="A4" s="887"/>
      <c r="B4" s="887"/>
      <c r="C4" s="887"/>
      <c r="D4" s="887"/>
      <c r="E4" s="887"/>
    </row>
    <row r="5" spans="4:5" ht="13.5" thickBot="1">
      <c r="D5" s="888"/>
      <c r="E5" s="888" t="s">
        <v>169</v>
      </c>
    </row>
    <row r="6" spans="1:5" s="884" customFormat="1" ht="15" customHeight="1">
      <c r="A6" s="889" t="s">
        <v>823</v>
      </c>
      <c r="B6" s="890" t="s">
        <v>171</v>
      </c>
      <c r="C6" s="891" t="s">
        <v>172</v>
      </c>
      <c r="D6" s="891" t="s">
        <v>173</v>
      </c>
      <c r="E6" s="892" t="s">
        <v>174</v>
      </c>
    </row>
    <row r="7" spans="1:5" s="897" customFormat="1" ht="12" customHeight="1" thickBot="1">
      <c r="A7" s="893">
        <v>1</v>
      </c>
      <c r="B7" s="894">
        <v>2</v>
      </c>
      <c r="C7" s="895">
        <v>3</v>
      </c>
      <c r="D7" s="895">
        <v>4</v>
      </c>
      <c r="E7" s="896">
        <v>5</v>
      </c>
    </row>
    <row r="8" spans="1:5" s="902" customFormat="1" ht="18.75" customHeight="1">
      <c r="A8" s="898" t="s">
        <v>826</v>
      </c>
      <c r="B8" s="899" t="s">
        <v>935</v>
      </c>
      <c r="C8" s="900">
        <v>42000</v>
      </c>
      <c r="D8" s="900">
        <v>31224.87</v>
      </c>
      <c r="E8" s="901">
        <f aca="true" t="shared" si="0" ref="E8:E57">D8/C8*100</f>
        <v>74.34492857142857</v>
      </c>
    </row>
    <row r="9" spans="1:5" s="902" customFormat="1" ht="18.75" customHeight="1">
      <c r="A9" s="903" t="s">
        <v>827</v>
      </c>
      <c r="B9" s="904" t="s">
        <v>936</v>
      </c>
      <c r="C9" s="905">
        <f>SUM(C10:C15)</f>
        <v>122000</v>
      </c>
      <c r="D9" s="905">
        <f>SUM(D10:D15)</f>
        <v>58043.62</v>
      </c>
      <c r="E9" s="906">
        <f t="shared" si="0"/>
        <v>47.57673770491804</v>
      </c>
    </row>
    <row r="10" spans="1:5" ht="15" customHeight="1">
      <c r="A10" s="907" t="s">
        <v>50</v>
      </c>
      <c r="B10" s="908" t="s">
        <v>590</v>
      </c>
      <c r="C10" s="909">
        <v>50000</v>
      </c>
      <c r="D10" s="909">
        <v>30476.9</v>
      </c>
      <c r="E10" s="910">
        <f t="shared" si="0"/>
        <v>60.9538</v>
      </c>
    </row>
    <row r="11" spans="1:5" ht="15" customHeight="1">
      <c r="A11" s="907" t="s">
        <v>51</v>
      </c>
      <c r="B11" s="908" t="s">
        <v>1241</v>
      </c>
      <c r="C11" s="909">
        <v>52000</v>
      </c>
      <c r="D11" s="909">
        <v>19603.85</v>
      </c>
      <c r="E11" s="910">
        <f t="shared" si="0"/>
        <v>37.699711538461536</v>
      </c>
    </row>
    <row r="12" spans="1:5" ht="15" customHeight="1" hidden="1">
      <c r="A12" s="907" t="s">
        <v>53</v>
      </c>
      <c r="B12" s="908" t="s">
        <v>591</v>
      </c>
      <c r="C12" s="911"/>
      <c r="D12" s="911"/>
      <c r="E12" s="910" t="e">
        <f t="shared" si="0"/>
        <v>#DIV/0!</v>
      </c>
    </row>
    <row r="13" spans="1:5" ht="15" customHeight="1">
      <c r="A13" s="907" t="s">
        <v>53</v>
      </c>
      <c r="B13" s="908" t="s">
        <v>592</v>
      </c>
      <c r="C13" s="911">
        <v>9000</v>
      </c>
      <c r="D13" s="911">
        <v>4192.54</v>
      </c>
      <c r="E13" s="910">
        <f t="shared" si="0"/>
        <v>46.58377777777778</v>
      </c>
    </row>
    <row r="14" spans="1:5" ht="15" customHeight="1">
      <c r="A14" s="907" t="s">
        <v>937</v>
      </c>
      <c r="B14" s="908" t="s">
        <v>593</v>
      </c>
      <c r="C14" s="911">
        <v>9000</v>
      </c>
      <c r="D14" s="911">
        <v>3770.33</v>
      </c>
      <c r="E14" s="910">
        <f t="shared" si="0"/>
        <v>41.89255555555555</v>
      </c>
    </row>
    <row r="15" spans="1:5" ht="15" customHeight="1">
      <c r="A15" s="912" t="s">
        <v>938</v>
      </c>
      <c r="B15" s="913" t="s">
        <v>375</v>
      </c>
      <c r="C15" s="914">
        <v>2000</v>
      </c>
      <c r="D15" s="914">
        <v>0</v>
      </c>
      <c r="E15" s="915">
        <f t="shared" si="0"/>
        <v>0</v>
      </c>
    </row>
    <row r="16" spans="1:5" s="902" customFormat="1" ht="18.75" customHeight="1">
      <c r="A16" s="903" t="s">
        <v>942</v>
      </c>
      <c r="B16" s="904" t="s">
        <v>390</v>
      </c>
      <c r="C16" s="916">
        <f>SUM(C17:C19)</f>
        <v>120000</v>
      </c>
      <c r="D16" s="916">
        <f>SUM(D17:D19)</f>
        <v>56725.009999999995</v>
      </c>
      <c r="E16" s="906">
        <f t="shared" si="0"/>
        <v>47.27084166666666</v>
      </c>
    </row>
    <row r="17" spans="1:5" ht="15" customHeight="1">
      <c r="A17" s="907" t="s">
        <v>873</v>
      </c>
      <c r="B17" s="908" t="s">
        <v>391</v>
      </c>
      <c r="C17" s="911">
        <v>29000</v>
      </c>
      <c r="D17" s="911">
        <v>12044.94</v>
      </c>
      <c r="E17" s="910">
        <f t="shared" si="0"/>
        <v>41.53427586206897</v>
      </c>
    </row>
    <row r="18" spans="1:5" ht="15" customHeight="1">
      <c r="A18" s="907" t="s">
        <v>874</v>
      </c>
      <c r="B18" s="908" t="s">
        <v>392</v>
      </c>
      <c r="C18" s="911">
        <v>26000</v>
      </c>
      <c r="D18" s="911">
        <v>9884.73</v>
      </c>
      <c r="E18" s="910">
        <f t="shared" si="0"/>
        <v>38.0181923076923</v>
      </c>
    </row>
    <row r="19" spans="1:5" ht="15" customHeight="1">
      <c r="A19" s="912" t="s">
        <v>875</v>
      </c>
      <c r="B19" s="913" t="s">
        <v>594</v>
      </c>
      <c r="C19" s="917">
        <v>65000</v>
      </c>
      <c r="D19" s="914">
        <v>34795.34</v>
      </c>
      <c r="E19" s="915">
        <f t="shared" si="0"/>
        <v>53.531292307692304</v>
      </c>
    </row>
    <row r="20" spans="1:5" s="902" customFormat="1" ht="18.75" customHeight="1">
      <c r="A20" s="903" t="s">
        <v>949</v>
      </c>
      <c r="B20" s="904" t="s">
        <v>393</v>
      </c>
      <c r="C20" s="916">
        <f>SUM(C21:C31)</f>
        <v>433000</v>
      </c>
      <c r="D20" s="916">
        <f>SUM(D21:D31)</f>
        <v>187338.12</v>
      </c>
      <c r="E20" s="906">
        <f t="shared" si="0"/>
        <v>43.265154734411084</v>
      </c>
    </row>
    <row r="21" spans="1:5" ht="15" customHeight="1">
      <c r="A21" s="907" t="s">
        <v>876</v>
      </c>
      <c r="B21" s="908" t="s">
        <v>595</v>
      </c>
      <c r="C21" s="911">
        <v>5000</v>
      </c>
      <c r="D21" s="911">
        <v>2353.75</v>
      </c>
      <c r="E21" s="910">
        <f t="shared" si="0"/>
        <v>47.075</v>
      </c>
    </row>
    <row r="22" spans="1:5" ht="15" customHeight="1">
      <c r="A22" s="907" t="s">
        <v>877</v>
      </c>
      <c r="B22" s="908" t="s">
        <v>395</v>
      </c>
      <c r="C22" s="911">
        <v>30000</v>
      </c>
      <c r="D22" s="911">
        <v>10261.19</v>
      </c>
      <c r="E22" s="910">
        <v>10261.19</v>
      </c>
    </row>
    <row r="23" spans="1:5" ht="15" customHeight="1">
      <c r="A23" s="907" t="s">
        <v>878</v>
      </c>
      <c r="B23" s="908" t="s">
        <v>596</v>
      </c>
      <c r="C23" s="911">
        <v>102000</v>
      </c>
      <c r="D23" s="911">
        <v>48536.8</v>
      </c>
      <c r="E23" s="910">
        <f t="shared" si="0"/>
        <v>47.58509803921569</v>
      </c>
    </row>
    <row r="24" spans="1:5" ht="15" customHeight="1">
      <c r="A24" s="907" t="s">
        <v>479</v>
      </c>
      <c r="B24" s="908" t="s">
        <v>394</v>
      </c>
      <c r="C24" s="911">
        <v>11000</v>
      </c>
      <c r="D24" s="911">
        <v>7237.29</v>
      </c>
      <c r="E24" s="910">
        <f t="shared" si="0"/>
        <v>65.79354545454545</v>
      </c>
    </row>
    <row r="25" spans="1:5" ht="17.25" customHeight="1">
      <c r="A25" s="907" t="s">
        <v>480</v>
      </c>
      <c r="B25" s="908" t="s">
        <v>597</v>
      </c>
      <c r="C25" s="911">
        <v>20000</v>
      </c>
      <c r="D25" s="911">
        <v>11394.34</v>
      </c>
      <c r="E25" s="910">
        <f t="shared" si="0"/>
        <v>56.971700000000006</v>
      </c>
    </row>
    <row r="26" spans="1:5" ht="15" customHeight="1" hidden="1">
      <c r="A26" s="907" t="s">
        <v>485</v>
      </c>
      <c r="B26" s="908" t="s">
        <v>396</v>
      </c>
      <c r="C26" s="911"/>
      <c r="D26" s="911"/>
      <c r="E26" s="910" t="e">
        <f t="shared" si="0"/>
        <v>#DIV/0!</v>
      </c>
    </row>
    <row r="27" spans="1:5" ht="15" customHeight="1">
      <c r="A27" s="907" t="s">
        <v>485</v>
      </c>
      <c r="B27" s="908" t="s">
        <v>598</v>
      </c>
      <c r="C27" s="911">
        <v>120000</v>
      </c>
      <c r="D27" s="911">
        <v>46373</v>
      </c>
      <c r="E27" s="910">
        <f t="shared" si="0"/>
        <v>38.64416666666667</v>
      </c>
    </row>
    <row r="28" spans="1:5" ht="15" customHeight="1">
      <c r="A28" s="907" t="s">
        <v>486</v>
      </c>
      <c r="B28" s="908" t="s">
        <v>599</v>
      </c>
      <c r="C28" s="911">
        <v>10000</v>
      </c>
      <c r="D28" s="911">
        <v>4712</v>
      </c>
      <c r="E28" s="910">
        <f t="shared" si="0"/>
        <v>47.12</v>
      </c>
    </row>
    <row r="29" spans="1:5" ht="15" customHeight="1">
      <c r="A29" s="907" t="s">
        <v>487</v>
      </c>
      <c r="B29" s="908" t="s">
        <v>600</v>
      </c>
      <c r="C29" s="911">
        <v>80000</v>
      </c>
      <c r="D29" s="911">
        <v>27712</v>
      </c>
      <c r="E29" s="910">
        <f t="shared" si="0"/>
        <v>34.64</v>
      </c>
    </row>
    <row r="30" spans="1:5" ht="15" customHeight="1">
      <c r="A30" s="907" t="s">
        <v>488</v>
      </c>
      <c r="B30" s="908" t="s">
        <v>602</v>
      </c>
      <c r="C30" s="911">
        <v>5000</v>
      </c>
      <c r="D30" s="911">
        <v>0</v>
      </c>
      <c r="E30" s="910">
        <f t="shared" si="0"/>
        <v>0</v>
      </c>
    </row>
    <row r="31" spans="1:5" ht="15" customHeight="1">
      <c r="A31" s="907" t="s">
        <v>342</v>
      </c>
      <c r="B31" s="913" t="s">
        <v>601</v>
      </c>
      <c r="C31" s="914">
        <v>50000</v>
      </c>
      <c r="D31" s="914">
        <v>28757.75</v>
      </c>
      <c r="E31" s="915">
        <f t="shared" si="0"/>
        <v>57.515499999999996</v>
      </c>
    </row>
    <row r="32" spans="1:5" s="902" customFormat="1" ht="18.75" customHeight="1">
      <c r="A32" s="903" t="s">
        <v>950</v>
      </c>
      <c r="B32" s="904" t="s">
        <v>1156</v>
      </c>
      <c r="C32" s="916">
        <f>SUM(C33,C34,C35)</f>
        <v>932000</v>
      </c>
      <c r="D32" s="916">
        <f>SUM(D33,D34,D35)</f>
        <v>465001.9</v>
      </c>
      <c r="E32" s="906">
        <f t="shared" si="0"/>
        <v>49.89290772532189</v>
      </c>
    </row>
    <row r="33" spans="1:5" ht="15" customHeight="1">
      <c r="A33" s="907" t="s">
        <v>489</v>
      </c>
      <c r="B33" s="908" t="s">
        <v>603</v>
      </c>
      <c r="C33" s="911">
        <v>650000</v>
      </c>
      <c r="D33" s="911">
        <v>323893.7</v>
      </c>
      <c r="E33" s="910">
        <f t="shared" si="0"/>
        <v>49.8298</v>
      </c>
    </row>
    <row r="34" spans="1:5" ht="15" customHeight="1">
      <c r="A34" s="907" t="s">
        <v>490</v>
      </c>
      <c r="B34" s="908" t="s">
        <v>1246</v>
      </c>
      <c r="C34" s="911">
        <v>12000</v>
      </c>
      <c r="D34" s="911">
        <v>0</v>
      </c>
      <c r="E34" s="910">
        <f t="shared" si="0"/>
        <v>0</v>
      </c>
    </row>
    <row r="35" spans="1:5" ht="15" customHeight="1">
      <c r="A35" s="907" t="s">
        <v>1254</v>
      </c>
      <c r="B35" s="908" t="s">
        <v>604</v>
      </c>
      <c r="C35" s="911">
        <v>270000</v>
      </c>
      <c r="D35" s="911">
        <v>141108.2</v>
      </c>
      <c r="E35" s="910">
        <f t="shared" si="0"/>
        <v>52.2622962962963</v>
      </c>
    </row>
    <row r="36" spans="1:5" ht="18.75" customHeight="1">
      <c r="A36" s="898" t="s">
        <v>951</v>
      </c>
      <c r="B36" s="899" t="s">
        <v>1157</v>
      </c>
      <c r="C36" s="918">
        <v>182000</v>
      </c>
      <c r="D36" s="918">
        <v>85929.79</v>
      </c>
      <c r="E36" s="901">
        <f t="shared" si="0"/>
        <v>47.214170329670324</v>
      </c>
    </row>
    <row r="37" spans="1:5" ht="25.5" customHeight="1">
      <c r="A37" s="919" t="s">
        <v>281</v>
      </c>
      <c r="B37" s="920" t="s">
        <v>1158</v>
      </c>
      <c r="C37" s="921">
        <v>19200</v>
      </c>
      <c r="D37" s="921">
        <v>4742.64</v>
      </c>
      <c r="E37" s="922">
        <f t="shared" si="0"/>
        <v>24.70125</v>
      </c>
    </row>
    <row r="38" spans="1:5" s="902" customFormat="1" ht="18.75" customHeight="1">
      <c r="A38" s="903" t="s">
        <v>282</v>
      </c>
      <c r="B38" s="904" t="s">
        <v>577</v>
      </c>
      <c r="C38" s="916">
        <f>SUM(C39,C40)</f>
        <v>13900</v>
      </c>
      <c r="D38" s="916">
        <f>SUM(D39,D40)</f>
        <v>6903.74</v>
      </c>
      <c r="E38" s="906">
        <f t="shared" si="0"/>
        <v>49.66719424460431</v>
      </c>
    </row>
    <row r="39" spans="1:5" ht="15" customHeight="1">
      <c r="A39" s="907" t="s">
        <v>578</v>
      </c>
      <c r="B39" s="908" t="s">
        <v>579</v>
      </c>
      <c r="C39" s="911">
        <v>13700</v>
      </c>
      <c r="D39" s="911">
        <v>6825</v>
      </c>
      <c r="E39" s="910">
        <f t="shared" si="0"/>
        <v>49.81751824817518</v>
      </c>
    </row>
    <row r="40" spans="1:5" ht="15" customHeight="1">
      <c r="A40" s="912" t="s">
        <v>580</v>
      </c>
      <c r="B40" s="913" t="s">
        <v>605</v>
      </c>
      <c r="C40" s="914">
        <v>200</v>
      </c>
      <c r="D40" s="914">
        <v>78.74</v>
      </c>
      <c r="E40" s="915">
        <f t="shared" si="0"/>
        <v>39.37</v>
      </c>
    </row>
    <row r="41" spans="1:5" s="902" customFormat="1" ht="18.75" customHeight="1">
      <c r="A41" s="919" t="s">
        <v>952</v>
      </c>
      <c r="B41" s="920" t="s">
        <v>606</v>
      </c>
      <c r="C41" s="921">
        <v>200</v>
      </c>
      <c r="D41" s="921">
        <v>0</v>
      </c>
      <c r="E41" s="922">
        <f t="shared" si="0"/>
        <v>0</v>
      </c>
    </row>
    <row r="42" spans="1:5" s="902" customFormat="1" ht="18.75" customHeight="1">
      <c r="A42" s="919" t="s">
        <v>954</v>
      </c>
      <c r="B42" s="920" t="s">
        <v>607</v>
      </c>
      <c r="C42" s="921">
        <v>500</v>
      </c>
      <c r="D42" s="921">
        <v>153</v>
      </c>
      <c r="E42" s="922">
        <f t="shared" si="0"/>
        <v>30.599999999999998</v>
      </c>
    </row>
    <row r="43" spans="1:5" s="902" customFormat="1" ht="27.75" customHeight="1">
      <c r="A43" s="919" t="s">
        <v>283</v>
      </c>
      <c r="B43" s="920" t="s">
        <v>608</v>
      </c>
      <c r="C43" s="921">
        <v>5000</v>
      </c>
      <c r="D43" s="921">
        <v>2215.02</v>
      </c>
      <c r="E43" s="922">
        <f t="shared" si="0"/>
        <v>44.3004</v>
      </c>
    </row>
    <row r="44" spans="1:5" s="902" customFormat="1" ht="21.75" customHeight="1">
      <c r="A44" s="919" t="s">
        <v>955</v>
      </c>
      <c r="B44" s="899" t="s">
        <v>586</v>
      </c>
      <c r="C44" s="921">
        <v>12000</v>
      </c>
      <c r="D44" s="921">
        <v>9010.24</v>
      </c>
      <c r="E44" s="922">
        <f t="shared" si="0"/>
        <v>75.08533333333332</v>
      </c>
    </row>
    <row r="45" spans="1:5" s="902" customFormat="1" ht="21.75" customHeight="1">
      <c r="A45" s="919" t="s">
        <v>956</v>
      </c>
      <c r="B45" s="899" t="s">
        <v>587</v>
      </c>
      <c r="C45" s="921">
        <v>100</v>
      </c>
      <c r="D45" s="921">
        <v>0</v>
      </c>
      <c r="E45" s="922">
        <f t="shared" si="0"/>
        <v>0</v>
      </c>
    </row>
    <row r="46" spans="1:5" s="902" customFormat="1" ht="18.75" customHeight="1">
      <c r="A46" s="919" t="s">
        <v>284</v>
      </c>
      <c r="B46" s="920" t="s">
        <v>1242</v>
      </c>
      <c r="C46" s="923">
        <f>C45+C44+C43+C42+C41+C32+C38+C37+C36+C20+C16+C9+C8</f>
        <v>1881900</v>
      </c>
      <c r="D46" s="923">
        <f>D45+D44+D43+D42+D41+D32+D38+D37+D36+D20+D16+D9+D8</f>
        <v>907287.9500000001</v>
      </c>
      <c r="E46" s="924">
        <f t="shared" si="0"/>
        <v>48.211273181359275</v>
      </c>
    </row>
    <row r="47" spans="1:5" s="902" customFormat="1" ht="18.75" customHeight="1">
      <c r="A47" s="903" t="s">
        <v>957</v>
      </c>
      <c r="B47" s="904" t="s">
        <v>581</v>
      </c>
      <c r="C47" s="916">
        <f>SUM(C48:C50)</f>
        <v>1461800</v>
      </c>
      <c r="D47" s="916">
        <f>SUM(D48:D50)</f>
        <v>716036.53</v>
      </c>
      <c r="E47" s="906">
        <f t="shared" si="0"/>
        <v>48.98320768915036</v>
      </c>
    </row>
    <row r="48" spans="1:5" ht="15" customHeight="1">
      <c r="A48" s="907" t="s">
        <v>583</v>
      </c>
      <c r="B48" s="908" t="s">
        <v>609</v>
      </c>
      <c r="C48" s="911">
        <v>1004800</v>
      </c>
      <c r="D48" s="911">
        <v>487342</v>
      </c>
      <c r="E48" s="910">
        <f t="shared" si="0"/>
        <v>48.50139331210191</v>
      </c>
    </row>
    <row r="49" spans="1:5" ht="27" customHeight="1">
      <c r="A49" s="907" t="s">
        <v>584</v>
      </c>
      <c r="B49" s="908" t="s">
        <v>610</v>
      </c>
      <c r="C49" s="911">
        <v>107000</v>
      </c>
      <c r="D49" s="911">
        <v>51557.73</v>
      </c>
      <c r="E49" s="910">
        <f t="shared" si="0"/>
        <v>48.184794392523365</v>
      </c>
    </row>
    <row r="50" spans="1:5" ht="15" customHeight="1">
      <c r="A50" s="912" t="s">
        <v>585</v>
      </c>
      <c r="B50" s="913" t="s">
        <v>1247</v>
      </c>
      <c r="C50" s="914">
        <v>350000</v>
      </c>
      <c r="D50" s="914">
        <v>177136.8</v>
      </c>
      <c r="E50" s="915">
        <f t="shared" si="0"/>
        <v>50.61051428571428</v>
      </c>
    </row>
    <row r="51" spans="1:5" s="902" customFormat="1" ht="18.75" customHeight="1">
      <c r="A51" s="898" t="s">
        <v>958</v>
      </c>
      <c r="B51" s="899" t="s">
        <v>582</v>
      </c>
      <c r="C51" s="918">
        <v>300</v>
      </c>
      <c r="D51" s="918">
        <v>21.31</v>
      </c>
      <c r="E51" s="922">
        <f t="shared" si="0"/>
        <v>7.103333333333333</v>
      </c>
    </row>
    <row r="52" spans="1:5" s="902" customFormat="1" ht="18.75" customHeight="1">
      <c r="A52" s="903" t="s">
        <v>959</v>
      </c>
      <c r="B52" s="904" t="s">
        <v>611</v>
      </c>
      <c r="C52" s="916">
        <f>SUM(C53,C54)</f>
        <v>97100</v>
      </c>
      <c r="D52" s="916">
        <f>SUM(D53,D54)</f>
        <v>92491.27</v>
      </c>
      <c r="E52" s="925">
        <f t="shared" si="0"/>
        <v>95.25362512873326</v>
      </c>
    </row>
    <row r="53" spans="1:5" ht="15" customHeight="1">
      <c r="A53" s="907" t="s">
        <v>612</v>
      </c>
      <c r="B53" s="908" t="s">
        <v>613</v>
      </c>
      <c r="C53" s="911">
        <v>86700</v>
      </c>
      <c r="D53" s="911">
        <v>86578</v>
      </c>
      <c r="E53" s="910">
        <f t="shared" si="0"/>
        <v>99.85928489042676</v>
      </c>
    </row>
    <row r="54" spans="1:5" ht="15" customHeight="1">
      <c r="A54" s="907" t="s">
        <v>614</v>
      </c>
      <c r="B54" s="913" t="s">
        <v>593</v>
      </c>
      <c r="C54" s="914">
        <v>10400</v>
      </c>
      <c r="D54" s="914">
        <v>5913.27</v>
      </c>
      <c r="E54" s="910">
        <f t="shared" si="0"/>
        <v>56.85836538461538</v>
      </c>
    </row>
    <row r="55" spans="1:5" s="902" customFormat="1" ht="18.75" customHeight="1">
      <c r="A55" s="919" t="s">
        <v>960</v>
      </c>
      <c r="B55" s="920" t="s">
        <v>588</v>
      </c>
      <c r="C55" s="921">
        <f>SUM(C47+C51+C52)</f>
        <v>1559200</v>
      </c>
      <c r="D55" s="921">
        <f>SUM(D47+D51+D52)</f>
        <v>808549.1100000001</v>
      </c>
      <c r="E55" s="922">
        <f t="shared" si="0"/>
        <v>51.85666431503335</v>
      </c>
    </row>
    <row r="56" spans="1:5" s="902" customFormat="1" ht="18.75" customHeight="1" thickBot="1">
      <c r="A56" s="926" t="s">
        <v>966</v>
      </c>
      <c r="B56" s="927" t="s">
        <v>1248</v>
      </c>
      <c r="C56" s="928">
        <v>0</v>
      </c>
      <c r="D56" s="928">
        <v>6822</v>
      </c>
      <c r="E56" s="929"/>
    </row>
    <row r="57" spans="1:5" s="902" customFormat="1" ht="18.75" customHeight="1" thickBot="1">
      <c r="A57" s="930" t="s">
        <v>967</v>
      </c>
      <c r="B57" s="931" t="s">
        <v>1243</v>
      </c>
      <c r="C57" s="932">
        <f>SUM(C55-C46+C56)</f>
        <v>-322700</v>
      </c>
      <c r="D57" s="932">
        <f>SUM(D55-D46+D56)</f>
        <v>-91916.83999999997</v>
      </c>
      <c r="E57" s="933">
        <f t="shared" si="0"/>
        <v>28.48368143786798</v>
      </c>
    </row>
  </sheetData>
  <sheetProtection password="CF53" sheet="1" formatCells="0" formatColumns="0" formatRows="0" insertColumns="0" insertRows="0" insertHyperlinks="0" deleteColumns="0" deleteRows="0" sort="0" autoFilter="0" pivotTables="0"/>
  <mergeCells count="2">
    <mergeCell ref="D1:E1"/>
    <mergeCell ref="A3:E3"/>
  </mergeCells>
  <printOptions/>
  <pageMargins left="0.7874015748031497" right="0.7874015748031497" top="0.984251968503937" bottom="0.984251968503937" header="0.5118110236220472" footer="0.5118110236220472"/>
  <pageSetup firstPageNumber="95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J147"/>
  <sheetViews>
    <sheetView view="pageBreakPreview" zoomScale="142" zoomScaleSheetLayoutView="142" zoomScalePageLayoutView="0" workbookViewId="0" topLeftCell="A1">
      <pane ySplit="8" topLeftCell="A9" activePane="bottomLeft" state="frozen"/>
      <selection pane="topLeft" activeCell="I244" sqref="I244"/>
      <selection pane="bottomLeft" activeCell="M16" sqref="M16"/>
    </sheetView>
  </sheetViews>
  <sheetFormatPr defaultColWidth="9.00390625" defaultRowHeight="12.75"/>
  <cols>
    <col min="1" max="1" width="3.625" style="84" customWidth="1"/>
    <col min="2" max="2" width="35.375" style="82" customWidth="1"/>
    <col min="3" max="3" width="14.125" style="82" customWidth="1"/>
    <col min="4" max="4" width="13.875" style="82" customWidth="1"/>
    <col min="5" max="5" width="8.375" style="97" customWidth="1"/>
    <col min="6" max="6" width="8.75390625" style="82" customWidth="1"/>
    <col min="7" max="7" width="6.375" style="82" hidden="1" customWidth="1"/>
    <col min="8" max="8" width="10.25390625" style="82" hidden="1" customWidth="1"/>
    <col min="9" max="9" width="13.125" style="371" hidden="1" customWidth="1"/>
    <col min="10" max="10" width="12.625" style="371" hidden="1" customWidth="1"/>
    <col min="11" max="11" width="9.125" style="82" hidden="1" customWidth="1"/>
    <col min="12" max="12" width="9.125" style="82" customWidth="1"/>
    <col min="13" max="16384" width="9.125" style="82" customWidth="1"/>
  </cols>
  <sheetData>
    <row r="1" spans="1:10" s="2" customFormat="1" ht="12.75">
      <c r="A1" s="1"/>
      <c r="D1" s="3"/>
      <c r="E1" s="1439" t="s">
        <v>59</v>
      </c>
      <c r="F1" s="1439"/>
      <c r="I1" s="371"/>
      <c r="J1" s="371"/>
    </row>
    <row r="2" spans="1:10" s="2" customFormat="1" ht="8.25" customHeight="1">
      <c r="A2" s="1"/>
      <c r="D2" s="246"/>
      <c r="E2" s="246"/>
      <c r="I2" s="371"/>
      <c r="J2" s="371"/>
    </row>
    <row r="3" spans="1:10" s="2" customFormat="1" ht="13.5" customHeight="1">
      <c r="A3" s="1443" t="s">
        <v>1259</v>
      </c>
      <c r="B3" s="1443"/>
      <c r="C3" s="1443"/>
      <c r="D3" s="1443"/>
      <c r="E3" s="1443"/>
      <c r="F3" s="1443"/>
      <c r="I3" s="371"/>
      <c r="J3" s="371"/>
    </row>
    <row r="4" spans="1:10" s="2" customFormat="1" ht="2.25" customHeight="1">
      <c r="A4" s="1440"/>
      <c r="B4" s="1440"/>
      <c r="C4" s="1440"/>
      <c r="D4" s="1440"/>
      <c r="E4" s="1440"/>
      <c r="I4" s="371"/>
      <c r="J4" s="371"/>
    </row>
    <row r="5" spans="1:10" s="2" customFormat="1" ht="13.5" thickBot="1">
      <c r="A5" s="303"/>
      <c r="B5" s="303"/>
      <c r="C5" s="303"/>
      <c r="D5" s="303"/>
      <c r="E5" s="349"/>
      <c r="F5" s="349" t="s">
        <v>169</v>
      </c>
      <c r="I5" s="371"/>
      <c r="J5" s="371"/>
    </row>
    <row r="6" spans="1:10" s="2" customFormat="1" ht="15.75" customHeight="1">
      <c r="A6" s="1444" t="s">
        <v>823</v>
      </c>
      <c r="B6" s="1446" t="s">
        <v>123</v>
      </c>
      <c r="C6" s="1441" t="s">
        <v>323</v>
      </c>
      <c r="D6" s="1442"/>
      <c r="E6" s="1448" t="s">
        <v>259</v>
      </c>
      <c r="F6" s="1450" t="s">
        <v>117</v>
      </c>
      <c r="I6" s="371"/>
      <c r="J6" s="371"/>
    </row>
    <row r="7" spans="1:10" s="2" customFormat="1" ht="23.25" customHeight="1">
      <c r="A7" s="1445"/>
      <c r="B7" s="1447"/>
      <c r="C7" s="350" t="s">
        <v>172</v>
      </c>
      <c r="D7" s="351" t="s">
        <v>173</v>
      </c>
      <c r="E7" s="1449"/>
      <c r="F7" s="1451"/>
      <c r="I7" s="371"/>
      <c r="J7" s="371"/>
    </row>
    <row r="8" spans="1:10" s="255" customFormat="1" ht="12" customHeight="1" thickBot="1">
      <c r="A8" s="253">
        <v>1</v>
      </c>
      <c r="B8" s="4">
        <v>2</v>
      </c>
      <c r="C8" s="4">
        <v>3</v>
      </c>
      <c r="D8" s="4">
        <v>4</v>
      </c>
      <c r="E8" s="5">
        <v>5</v>
      </c>
      <c r="F8" s="254">
        <v>6</v>
      </c>
      <c r="I8" s="372"/>
      <c r="J8" s="372"/>
    </row>
    <row r="9" spans="1:10" s="2" customFormat="1" ht="18" customHeight="1">
      <c r="A9" s="352" t="s">
        <v>824</v>
      </c>
      <c r="B9" s="353" t="s">
        <v>825</v>
      </c>
      <c r="C9" s="354">
        <f>SUM(C10,C15)</f>
        <v>317783602.74</v>
      </c>
      <c r="D9" s="354">
        <f>SUM(D10,D15)</f>
        <v>163014373.24</v>
      </c>
      <c r="E9" s="355">
        <f>D9*100/C9</f>
        <v>51.29728904652546</v>
      </c>
      <c r="F9" s="356">
        <f>D9/D$9*100</f>
        <v>100</v>
      </c>
      <c r="I9" s="371"/>
      <c r="J9" s="371"/>
    </row>
    <row r="10" spans="1:10" s="363" customFormat="1" ht="18" customHeight="1">
      <c r="A10" s="357" t="s">
        <v>826</v>
      </c>
      <c r="B10" s="358" t="s">
        <v>45</v>
      </c>
      <c r="C10" s="359">
        <f>SUM(C11,C12,C13,C14)</f>
        <v>271591194.74</v>
      </c>
      <c r="D10" s="360">
        <f>SUM(D11,D12,D13,D14)</f>
        <v>138238664.92000002</v>
      </c>
      <c r="E10" s="361">
        <f aca="true" t="shared" si="0" ref="E10:E17">D10*100/C10</f>
        <v>50.8995385702172</v>
      </c>
      <c r="F10" s="362">
        <f aca="true" t="shared" si="1" ref="F10:F17">D10/D$9*100</f>
        <v>84.8015191375035</v>
      </c>
      <c r="I10" s="373"/>
      <c r="J10" s="374"/>
    </row>
    <row r="11" spans="1:6" s="2" customFormat="1" ht="29.25" customHeight="1">
      <c r="A11" s="365" t="s">
        <v>47</v>
      </c>
      <c r="B11" s="376" t="s">
        <v>927</v>
      </c>
      <c r="C11" s="364">
        <f>6DOCHODY!E14+6DOCHODY!E104+6DOCHODY!E105+6DOCHODY!E109+6DOCHODY!E125+6DOCHODY!E171+6DOCHODY!E173+6DOCHODY!E177+6DOCHODY!E179+6DOCHODY!E198+6DOCHODY!E225+6DOCHODY!E265+6DOCHODY!E275+6DOCHODY!E277+6DOCHODY!E286+6DOCHODY!E287+6DOCHODY!E301+6DOCHODY!E308+6DOCHODY!E309+6DOCHODY!E317+6DOCHODY!E322+6DOCHODY!E323+6DOCHODY!E324+6DOCHODY!E349+6DOCHODY!E350+6DOCHODY!E366+6DOCHODY!E375+6DOCHODY!E378+6DOCHODY!E384+6DOCHODY!E389+6DOCHODY!E390+6DOCHODY!E396+6DOCHODY!E397+6DOCHODY!E401+6DOCHODY!E404+6DOCHODY!E410+6DOCHODY!E411+6DOCHODY!E417+6DOCHODY!E420+6DOCHODY!E423+6DOCHODY!E426+6DOCHODY!E427+6DOCHODY!E428+6DOCHODY!E437+6DOCHODY!E456+6DOCHODY!E457+6DOCHODY!E458+6DOCHODY!E466+6DOCHODY!E472+6DOCHODY!E476+6DOCHODY!E483+6DOCHODY!E605+6DOCHODY!E607+6DOCHODY!E635+6DOCHODY!E641+6DOCHODY!E643+6DOCHODY!E649+6DOCHODY!E656+6DOCHODY!E662+6DOCHODY!E670+6DOCHODY!E679+6DOCHODY!E685+6DOCHODY!E705+6DOCHODY!E716+6DOCHODY!E720+6DOCHODY!E724+6DOCHODY!E735+6DOCHODY!E751+6DOCHODY!E755+6DOCHODY!E765+6DOCHODY!E771+6DOCHODY!E772+6DOCHODY!E773+6DOCHODY!E778+6DOCHODY!E781+6DOCHODY!E786+6DOCHODY!E789+6DOCHODY!E808+6DOCHODY!E822+6DOCHODY!E257+6DOCHODY!E696+6DOCHODY!E263+6DOCHODY!E700+6DOCHODY!E702+6DOCHODY!E713+6DOCHODY!E740+6DOCHODY!E784+6DOCHODY!E796+6DOCHODY!E818+6DOCHODY!E671+6DOCHODY!E675+6DOCHODY!E854+6DOCHODY!E837</f>
        <v>153659763.74</v>
      </c>
      <c r="D11" s="364">
        <f>6DOCHODY!F14+6DOCHODY!F104+6DOCHODY!F105+6DOCHODY!F109+6DOCHODY!F125+6DOCHODY!F171+6DOCHODY!F173+6DOCHODY!F177+6DOCHODY!F179+6DOCHODY!F198+6DOCHODY!F225+6DOCHODY!F265+6DOCHODY!F275+6DOCHODY!F277+6DOCHODY!F286+6DOCHODY!F287+6DOCHODY!F301+6DOCHODY!F308+6DOCHODY!F309+6DOCHODY!F317+6DOCHODY!F322+6DOCHODY!F323+6DOCHODY!F324+6DOCHODY!F349+6DOCHODY!F350+6DOCHODY!F366+6DOCHODY!F375+6DOCHODY!F378+6DOCHODY!F384+6DOCHODY!F389+6DOCHODY!F390+6DOCHODY!F396+6DOCHODY!F397+6DOCHODY!F401+6DOCHODY!F404+6DOCHODY!F410+6DOCHODY!F411+6DOCHODY!F417+6DOCHODY!F420+6DOCHODY!F423+6DOCHODY!F426+6DOCHODY!F427+6DOCHODY!F428+6DOCHODY!F437+6DOCHODY!F456+6DOCHODY!F457+6DOCHODY!F458+6DOCHODY!F466+6DOCHODY!F472+6DOCHODY!F476+6DOCHODY!F483+6DOCHODY!F605+6DOCHODY!F607+6DOCHODY!F635+6DOCHODY!F641+6DOCHODY!F643+6DOCHODY!F649+6DOCHODY!F656+6DOCHODY!F662+6DOCHODY!F670+6DOCHODY!F679+6DOCHODY!F685+6DOCHODY!F705+6DOCHODY!F716+6DOCHODY!F720+6DOCHODY!F724+6DOCHODY!F735+6DOCHODY!F751+6DOCHODY!F755+6DOCHODY!F765+6DOCHODY!F771+6DOCHODY!F772+6DOCHODY!F773+6DOCHODY!F778+6DOCHODY!F781+6DOCHODY!F786+6DOCHODY!F789+6DOCHODY!F808+6DOCHODY!F822+6DOCHODY!F257+6DOCHODY!F696+6DOCHODY!F263+6DOCHODY!F700+6DOCHODY!F702+6DOCHODY!F713+6DOCHODY!F740+6DOCHODY!F784+6DOCHODY!F796+6DOCHODY!F818+6DOCHODY!F671+6DOCHODY!F675+6DOCHODY!F854+6DOCHODY!F837</f>
        <v>75099961.44999999</v>
      </c>
      <c r="E11" s="367">
        <f t="shared" si="0"/>
        <v>48.87418776529741</v>
      </c>
      <c r="F11" s="368">
        <f t="shared" si="1"/>
        <v>46.069533598385895</v>
      </c>
    </row>
    <row r="12" spans="1:9" ht="18.75" customHeight="1">
      <c r="A12" s="365" t="s">
        <v>48</v>
      </c>
      <c r="B12" s="366" t="s">
        <v>159</v>
      </c>
      <c r="C12" s="364">
        <f>SUM(6DOCHODY!E34,6DOCHODY!E36,6DOCHODY!E157,6DOCHODY!E159,6DOCHODY!E161,6DOCHODY!E187,6DOCHODY!E189,6DOCHODY!E209,6DOCHODY!E444,6DOCHODY!E446,6DOCHODY!E448,6DOCHODY!E732,6DOCHODY!E734,6DOCHODY!E774,6DOCHODY!E798,6DOCHODY!E800,6DOCHODY!E802,6DOCHODY!E804,6DOCHODY!E806,6DOCHODY!E823,6DOCHODY!E825)+6DOCHODY!E681</f>
        <v>416469</v>
      </c>
      <c r="D12" s="364">
        <f>SUM(6DOCHODY!F34,6DOCHODY!F36,6DOCHODY!F157,6DOCHODY!F159,6DOCHODY!F161,6DOCHODY!F187,6DOCHODY!F189,6DOCHODY!F209,6DOCHODY!F444,6DOCHODY!F446,6DOCHODY!F448,6DOCHODY!F732,6DOCHODY!F734,6DOCHODY!F774,6DOCHODY!F798,6DOCHODY!F800,6DOCHODY!F802,6DOCHODY!F804,6DOCHODY!F806,6DOCHODY!F823,6DOCHODY!F825)+6DOCHODY!F681</f>
        <v>224223.34000000003</v>
      </c>
      <c r="E12" s="367">
        <f t="shared" si="0"/>
        <v>53.839142889386736</v>
      </c>
      <c r="F12" s="368">
        <f t="shared" si="1"/>
        <v>0.13754820237224377</v>
      </c>
      <c r="I12" s="371" t="s">
        <v>1202</v>
      </c>
    </row>
    <row r="13" spans="1:9" ht="18" customHeight="1">
      <c r="A13" s="365" t="s">
        <v>49</v>
      </c>
      <c r="B13" s="366" t="s">
        <v>46</v>
      </c>
      <c r="C13" s="364">
        <f>SUM(6DOCHODY!E70,6DOCHODY!E139,6DOCHODY!E163,6DOCHODY!E164,6DOCHODY!E210,6DOCHODY!E311,6DOCHODY!E318,6DOCHODY!E325,6DOCHODY!E573,6DOCHODY!E737)</f>
        <v>577521</v>
      </c>
      <c r="D13" s="364">
        <f>SUM(6DOCHODY!F70,6DOCHODY!F139,6DOCHODY!F163,6DOCHODY!F164,6DOCHODY!F210,6DOCHODY!F311,6DOCHODY!F318,6DOCHODY!F325,6DOCHODY!F573,6DOCHODY!F737)</f>
        <v>0</v>
      </c>
      <c r="E13" s="367">
        <f>D13*100/C13</f>
        <v>0</v>
      </c>
      <c r="F13" s="368">
        <f>D13/D$9*100</f>
        <v>0</v>
      </c>
      <c r="I13" s="371" t="s">
        <v>1206</v>
      </c>
    </row>
    <row r="14" spans="1:10" s="2" customFormat="1" ht="18" customHeight="1">
      <c r="A14" s="365" t="s">
        <v>54</v>
      </c>
      <c r="B14" s="366" t="s">
        <v>135</v>
      </c>
      <c r="C14" s="364">
        <f>C51-C15-C11-C12-C13</f>
        <v>116937441</v>
      </c>
      <c r="D14" s="364">
        <f>D51-D15-D11-D12-D13</f>
        <v>62914480.130000025</v>
      </c>
      <c r="E14" s="367">
        <f>D14*100/C14</f>
        <v>53.80182736340196</v>
      </c>
      <c r="F14" s="368">
        <f>D14/D$9*100</f>
        <v>38.59443733674537</v>
      </c>
      <c r="I14" s="371"/>
      <c r="J14" s="371"/>
    </row>
    <row r="15" spans="1:10" s="363" customFormat="1" ht="17.25" customHeight="1">
      <c r="A15" s="357" t="s">
        <v>827</v>
      </c>
      <c r="B15" s="369" t="s">
        <v>44</v>
      </c>
      <c r="C15" s="359">
        <f>SUM(C16:C19)</f>
        <v>46192408</v>
      </c>
      <c r="D15" s="359">
        <f>SUM(D16:D19)</f>
        <v>24775708.32</v>
      </c>
      <c r="E15" s="370">
        <f t="shared" si="0"/>
        <v>53.635888217821424</v>
      </c>
      <c r="F15" s="362">
        <f t="shared" si="1"/>
        <v>15.198480862496488</v>
      </c>
      <c r="I15" s="373"/>
      <c r="J15" s="373"/>
    </row>
    <row r="16" spans="1:9" ht="33" customHeight="1">
      <c r="A16" s="365" t="s">
        <v>50</v>
      </c>
      <c r="B16" s="366" t="s">
        <v>998</v>
      </c>
      <c r="C16" s="364">
        <f>SUM(6DOCHODY!E18,6DOCHODY!E43,6DOCHODY!E67,6DOCHODY!E98,6DOCHODY!E99,6DOCHODY!E133,6DOCHODY!E184,6DOCHODY!E270,6DOCHODY!E496,6DOCHODY!E540,6DOCHODY!E620,6DOCHODY!E852)</f>
        <v>35129187</v>
      </c>
      <c r="D16" s="364">
        <f>SUM(6DOCHODY!F18,6DOCHODY!F43,6DOCHODY!F67,6DOCHODY!F98,6DOCHODY!F99,6DOCHODY!F133,6DOCHODY!F184,6DOCHODY!F270,6DOCHODY!F496,6DOCHODY!F540,6DOCHODY!F620,6DOCHODY!F852)</f>
        <v>25253245.14</v>
      </c>
      <c r="E16" s="391">
        <f>D16*100/C16</f>
        <v>71.88679071906787</v>
      </c>
      <c r="F16" s="368">
        <f>D16/D$9*100</f>
        <v>15.49142240532409</v>
      </c>
      <c r="I16" s="371" t="s">
        <v>1205</v>
      </c>
    </row>
    <row r="17" spans="1:9" ht="18.75" customHeight="1">
      <c r="A17" s="365" t="s">
        <v>51</v>
      </c>
      <c r="B17" s="366" t="s">
        <v>1203</v>
      </c>
      <c r="C17" s="364">
        <f>SUM(6DOCHODY!E53+6DOCHODY!E81,6DOCHODY!E293,6DOCHODY!E329,6DOCHODY!E588,6DOCHODY!E630,6DOCHODY!E632,6DOCHODY!E637,6DOCHODY!E657,6DOCHODY!E659,6DOCHODY!E677,6DOCHODY!E703,6DOCHODY!E741,6DOCHODY!E830)</f>
        <v>123</v>
      </c>
      <c r="D17" s="364">
        <f>SUM(6DOCHODY!F53+6DOCHODY!F81,6DOCHODY!F293,6DOCHODY!F329,6DOCHODY!F588,6DOCHODY!F630,6DOCHODY!F632,6DOCHODY!F637,6DOCHODY!F657,6DOCHODY!F659,6DOCHODY!F677,6DOCHODY!F703,6DOCHODY!F741,6DOCHODY!F830)</f>
        <v>123</v>
      </c>
      <c r="E17" s="391">
        <f t="shared" si="0"/>
        <v>100</v>
      </c>
      <c r="F17" s="368">
        <f t="shared" si="1"/>
        <v>7.545346925875773E-05</v>
      </c>
      <c r="I17" s="371" t="s">
        <v>1204</v>
      </c>
    </row>
    <row r="18" spans="1:6" ht="18" customHeight="1">
      <c r="A18" s="365" t="s">
        <v>53</v>
      </c>
      <c r="B18" s="366" t="s">
        <v>706</v>
      </c>
      <c r="C18" s="392">
        <f>SUM(6DOCHODY!E504,6DOCHODY!E513)+6DOCHODY!E584+6DOCHODY!E682</f>
        <v>1206327</v>
      </c>
      <c r="D18" s="392">
        <f>SUM(6DOCHODY!F504,6DOCHODY!F513)+6DOCHODY!F584+6DOCHODY!F682</f>
        <v>102340</v>
      </c>
      <c r="E18" s="391">
        <f>D18*100/C18</f>
        <v>8.48360353370189</v>
      </c>
      <c r="F18" s="368">
        <f>D18/D$9*100</f>
        <v>0.06277974019464445</v>
      </c>
    </row>
    <row r="19" spans="1:9" ht="22.5" customHeight="1">
      <c r="A19" s="365" t="s">
        <v>937</v>
      </c>
      <c r="B19" s="366" t="s">
        <v>333</v>
      </c>
      <c r="C19" s="392">
        <f>SUM(6DOCHODY!E48,6DOCHODY!E50,6DOCHODY!E51,6DOCHODY!E59,6DOCHODY!E61,6DOCHODY!E75,6DOCHODY!E77,6DOCHODY!E79,6DOCHODY!E86,6DOCHODY!E88,6DOCHODY!E110,6DOCHODY!E141,6DOCHODY!E145,6DOCHODY!E166,6DOCHODY!E168,6DOCHODY!E190,6DOCHODY!E192,6DOCHODY!E193,6DOCHODY!E194,6DOCHODY!E195,6DOCHODY!E279,6DOCHODY!E288,6DOCHODY!E290,6DOCHODY!E291,6DOCHODY!E345,6DOCHODY!E430,6DOCHODY!E452,6DOCHODY!E502,6DOCHODY!E511,6DOCHODY!E514)+6DOCHODY!E548+6DOCHODY!E549+6DOCHODY!E556+6DOCHODY!E564+6DOCHODY!E566+6DOCHODY!E576+6DOCHODY!E582+6DOCHODY!E585+6DOCHODY!E587+6DOCHODY!E595+6DOCHODY!E597+6DOCHODY!E601+6DOCHODY!E611+6DOCHODY!E625+6DOCHODY!E626+6DOCHODY!E627+6DOCHODY!E628+6DOCHODY!E650+6DOCHODY!E652+6DOCHODY!E653+6DOCHODY!E711+6DOCHODY!E726+6DOCHODY!E809+6DOCHODY!E143</f>
        <v>9856771</v>
      </c>
      <c r="D19" s="392">
        <f>SUM(6DOCHODY!F48,6DOCHODY!F50,6DOCHODY!F51,6DOCHODY!F59,6DOCHODY!F61,6DOCHODY!F75,6DOCHODY!F77,6DOCHODY!F79,6DOCHODY!F86,6DOCHODY!F88,6DOCHODY!F110,6DOCHODY!F141,6DOCHODY!F145,6DOCHODY!F166,6DOCHODY!F168,6DOCHODY!F190,6DOCHODY!F192,6DOCHODY!F193,6DOCHODY!F194,6DOCHODY!F195,6DOCHODY!F279,6DOCHODY!F288,6DOCHODY!F290,6DOCHODY!F291,6DOCHODY!F345,6DOCHODY!F430,6DOCHODY!F452,6DOCHODY!F502,6DOCHODY!F511,6DOCHODY!F514)+6DOCHODY!F548+6DOCHODY!F549+6DOCHODY!F556+6DOCHODY!F564+6DOCHODY!F566+6DOCHODY!F576+6DOCHODY!F582+6DOCHODY!F585+6DOCHODY!F587+6DOCHODY!F595+6DOCHODY!F597+6DOCHODY!F601+6DOCHODY!F611+6DOCHODY!F625+6DOCHODY!F626+6DOCHODY!F627+6DOCHODY!F628+6DOCHODY!F650+6DOCHODY!F652+6DOCHODY!F653+6DOCHODY!F711+6DOCHODY!F726+6DOCHODY!F809+6DOCHODY!F143</f>
        <v>-579999.82</v>
      </c>
      <c r="E19" s="391">
        <f>D19*100/C19</f>
        <v>-5.8842781271878986</v>
      </c>
      <c r="F19" s="368">
        <f>D19/D$9*100</f>
        <v>-0.3557967364915042</v>
      </c>
      <c r="I19" s="371" t="s">
        <v>1280</v>
      </c>
    </row>
    <row r="20" spans="1:6" s="2" customFormat="1" ht="18" customHeight="1">
      <c r="A20" s="705" t="s">
        <v>828</v>
      </c>
      <c r="B20" s="706" t="s">
        <v>829</v>
      </c>
      <c r="C20" s="282">
        <f>SUM(C21,C31)</f>
        <v>367103930.74</v>
      </c>
      <c r="D20" s="282">
        <f>SUM(D21,D31)</f>
        <v>113504483.95000002</v>
      </c>
      <c r="E20" s="707">
        <f aca="true" t="shared" si="2" ref="E20:E31">D20*100/C20</f>
        <v>30.918896379344176</v>
      </c>
      <c r="F20" s="708">
        <f>D20/D$20*100</f>
        <v>100</v>
      </c>
    </row>
    <row r="21" spans="1:8" s="363" customFormat="1" ht="18" customHeight="1">
      <c r="A21" s="357" t="s">
        <v>826</v>
      </c>
      <c r="B21" s="703" t="s">
        <v>838</v>
      </c>
      <c r="C21" s="359">
        <f>SUM(C22,C27,C28,C29,C30)</f>
        <v>249314127.74</v>
      </c>
      <c r="D21" s="359">
        <f>SUM(D22,D27,D28,D29,D30)</f>
        <v>106619667.75000001</v>
      </c>
      <c r="E21" s="704">
        <f t="shared" si="2"/>
        <v>42.76519293811922</v>
      </c>
      <c r="F21" s="362">
        <f aca="true" t="shared" si="3" ref="F21:F37">D21/D$20*100</f>
        <v>93.93432227485141</v>
      </c>
      <c r="G21" s="362">
        <f>E21/E$20*100</f>
        <v>138.31409896858136</v>
      </c>
      <c r="H21" s="362">
        <f>F21/F$20*100</f>
        <v>93.93432227485141</v>
      </c>
    </row>
    <row r="22" spans="1:6" s="2" customFormat="1" ht="27" customHeight="1">
      <c r="A22" s="365" t="s">
        <v>47</v>
      </c>
      <c r="B22" s="376" t="s">
        <v>513</v>
      </c>
      <c r="C22" s="364">
        <f>SUM(9W!D1101)</f>
        <v>197999415.72</v>
      </c>
      <c r="D22" s="364">
        <f>SUM(9W!E1101)</f>
        <v>81199860.37</v>
      </c>
      <c r="E22" s="700">
        <f t="shared" si="2"/>
        <v>41.010151507127894</v>
      </c>
      <c r="F22" s="701">
        <f>D22/D$20*100</f>
        <v>71.53890097044047</v>
      </c>
    </row>
    <row r="23" spans="1:6" s="2" customFormat="1" ht="18" customHeight="1">
      <c r="A23" s="365"/>
      <c r="B23" s="699" t="s">
        <v>66</v>
      </c>
      <c r="C23" s="563">
        <f>SUM(9W!D1102)</f>
        <v>98864685.72</v>
      </c>
      <c r="D23" s="563">
        <f>SUM(9W!E1102)</f>
        <v>32195889.239999995</v>
      </c>
      <c r="E23" s="700">
        <f t="shared" si="2"/>
        <v>32.565611275176366</v>
      </c>
      <c r="F23" s="701">
        <f>D23/D$20*100</f>
        <v>28.36530163353074</v>
      </c>
    </row>
    <row r="24" spans="1:10" s="89" customFormat="1" ht="24.75" customHeight="1">
      <c r="A24" s="709"/>
      <c r="B24" s="1356" t="s">
        <v>149</v>
      </c>
      <c r="C24" s="1357">
        <v>1200</v>
      </c>
      <c r="D24" s="1357">
        <v>180</v>
      </c>
      <c r="E24" s="1358">
        <f>D24*100/C24</f>
        <v>15</v>
      </c>
      <c r="F24" s="1359">
        <f>D24/D$20*100</f>
        <v>0.00015858404332228144</v>
      </c>
      <c r="I24" s="375" t="s">
        <v>334</v>
      </c>
      <c r="J24" s="375"/>
    </row>
    <row r="25" spans="1:7" s="2" customFormat="1" ht="15.75" customHeight="1">
      <c r="A25" s="698"/>
      <c r="B25" s="575" t="s">
        <v>64</v>
      </c>
      <c r="C25" s="563">
        <f>SUM(9W!D1103)</f>
        <v>99134730</v>
      </c>
      <c r="D25" s="563">
        <f>SUM(9W!E1103)</f>
        <v>49003971.13</v>
      </c>
      <c r="E25" s="700">
        <f t="shared" si="2"/>
        <v>49.431688702839054</v>
      </c>
      <c r="F25" s="701">
        <f>D25/D$20*100</f>
        <v>43.17359933690972</v>
      </c>
      <c r="G25" s="2" t="s">
        <v>894</v>
      </c>
    </row>
    <row r="26" spans="1:6" s="275" customFormat="1" ht="16.5" customHeight="1" hidden="1">
      <c r="A26" s="698"/>
      <c r="B26" s="575" t="s">
        <v>844</v>
      </c>
      <c r="C26" s="563">
        <f>SUM(9W!D1105)</f>
        <v>0</v>
      </c>
      <c r="D26" s="563">
        <f>SUM(9W!E1105)</f>
        <v>0</v>
      </c>
      <c r="E26" s="700" t="e">
        <f t="shared" si="2"/>
        <v>#DIV/0!</v>
      </c>
      <c r="F26" s="701">
        <f>D26/D$20*100</f>
        <v>0</v>
      </c>
    </row>
    <row r="27" spans="1:7" s="2" customFormat="1" ht="18" customHeight="1">
      <c r="A27" s="365" t="s">
        <v>48</v>
      </c>
      <c r="B27" s="571" t="s">
        <v>1207</v>
      </c>
      <c r="C27" s="364">
        <f>SUM(9W!D1106)</f>
        <v>20496714</v>
      </c>
      <c r="D27" s="364">
        <f>SUM(9W!E1106)</f>
        <v>10234061.760000002</v>
      </c>
      <c r="E27" s="681">
        <f t="shared" si="2"/>
        <v>49.930255942489126</v>
      </c>
      <c r="F27" s="368">
        <f t="shared" si="3"/>
        <v>9.01643829728191</v>
      </c>
      <c r="G27" s="2" t="s">
        <v>1161</v>
      </c>
    </row>
    <row r="28" spans="1:6" s="2" customFormat="1" ht="18" customHeight="1">
      <c r="A28" s="365" t="s">
        <v>49</v>
      </c>
      <c r="B28" s="571" t="s">
        <v>67</v>
      </c>
      <c r="C28" s="364">
        <f>SUM(9W!D1107)</f>
        <v>26299388.02</v>
      </c>
      <c r="D28" s="364">
        <f>SUM(9W!E1107)</f>
        <v>14133588.48</v>
      </c>
      <c r="E28" s="681">
        <f t="shared" si="2"/>
        <v>53.74113066529067</v>
      </c>
      <c r="F28" s="368">
        <f t="shared" si="3"/>
        <v>12.452008932286764</v>
      </c>
    </row>
    <row r="29" spans="1:6" s="2" customFormat="1" ht="18" customHeight="1">
      <c r="A29" s="365" t="s">
        <v>54</v>
      </c>
      <c r="B29" s="571" t="s">
        <v>910</v>
      </c>
      <c r="C29" s="364">
        <f>9W!D1108</f>
        <v>848099</v>
      </c>
      <c r="D29" s="364">
        <f>9W!E1108</f>
        <v>31547.93</v>
      </c>
      <c r="E29" s="681">
        <f>D29*100/C29</f>
        <v>3.719840490320116</v>
      </c>
      <c r="F29" s="368">
        <f>D29/D$20*100</f>
        <v>0.02779443498804612</v>
      </c>
    </row>
    <row r="30" spans="1:6" s="2" customFormat="1" ht="18" customHeight="1">
      <c r="A30" s="365" t="s">
        <v>68</v>
      </c>
      <c r="B30" s="571" t="s">
        <v>55</v>
      </c>
      <c r="C30" s="364">
        <f>SUM(9W!D1109)</f>
        <v>3670511</v>
      </c>
      <c r="D30" s="364">
        <f>SUM(9W!E1109)</f>
        <v>1020609.21</v>
      </c>
      <c r="E30" s="681">
        <f t="shared" si="2"/>
        <v>27.805643682855056</v>
      </c>
      <c r="F30" s="368">
        <f t="shared" si="3"/>
        <v>0.899179639854219</v>
      </c>
    </row>
    <row r="31" spans="1:10" s="363" customFormat="1" ht="16.5" customHeight="1">
      <c r="A31" s="357" t="s">
        <v>827</v>
      </c>
      <c r="B31" s="703" t="s">
        <v>352</v>
      </c>
      <c r="C31" s="359">
        <f>SUM(C32,C37)</f>
        <v>117789803</v>
      </c>
      <c r="D31" s="360">
        <f>SUM(D32,D37)</f>
        <v>6884816.2</v>
      </c>
      <c r="E31" s="704">
        <f t="shared" si="2"/>
        <v>5.845001880171241</v>
      </c>
      <c r="F31" s="362">
        <f t="shared" si="3"/>
        <v>6.065677725148584</v>
      </c>
      <c r="I31" s="263"/>
      <c r="J31" s="263"/>
    </row>
    <row r="32" spans="1:10" s="2" customFormat="1" ht="27" customHeight="1">
      <c r="A32" s="365" t="s">
        <v>50</v>
      </c>
      <c r="B32" s="489" t="s">
        <v>514</v>
      </c>
      <c r="C32" s="490">
        <f>SUM(9W!D1111,9W!D1112)</f>
        <v>111721704</v>
      </c>
      <c r="D32" s="490">
        <f>SUM(9W!E1111,9W!E1112)</f>
        <v>6884748.82</v>
      </c>
      <c r="E32" s="681">
        <f aca="true" t="shared" si="4" ref="E32:E37">D32*100/C32</f>
        <v>6.162409427625629</v>
      </c>
      <c r="F32" s="368">
        <f t="shared" si="3"/>
        <v>6.065618361855033</v>
      </c>
      <c r="I32" s="263">
        <f>SUM(C33,C34,C35,C36)</f>
        <v>111721704</v>
      </c>
      <c r="J32" s="263">
        <f>SUM(D33,D34,D35,D36)</f>
        <v>6884748.819999999</v>
      </c>
    </row>
    <row r="33" spans="1:9" s="275" customFormat="1" ht="21" customHeight="1">
      <c r="A33" s="698"/>
      <c r="B33" s="502" t="s">
        <v>1159</v>
      </c>
      <c r="C33" s="503">
        <v>69351763</v>
      </c>
      <c r="D33" s="503">
        <v>4719339.95</v>
      </c>
      <c r="E33" s="700">
        <f t="shared" si="4"/>
        <v>6.804931476651863</v>
      </c>
      <c r="F33" s="701">
        <f t="shared" si="3"/>
        <v>4.1578445060187414</v>
      </c>
      <c r="G33" s="710">
        <f>SUM(C33:C37)</f>
        <v>117789803</v>
      </c>
      <c r="H33" s="710">
        <f>SUM(D33:D37)</f>
        <v>6884816.199999999</v>
      </c>
      <c r="I33" s="711" t="s">
        <v>1211</v>
      </c>
    </row>
    <row r="34" spans="1:8" s="275" customFormat="1" ht="18" customHeight="1">
      <c r="A34" s="698"/>
      <c r="B34" s="699" t="s">
        <v>910</v>
      </c>
      <c r="C34" s="503">
        <f>SUM(9W!D1112)</f>
        <v>27131530</v>
      </c>
      <c r="D34" s="503">
        <f>SUM(9W!E1112)</f>
        <v>149859.93</v>
      </c>
      <c r="E34" s="700">
        <f t="shared" si="4"/>
        <v>0.552346034300314</v>
      </c>
      <c r="F34" s="701">
        <f t="shared" si="3"/>
        <v>0.13202996461885588</v>
      </c>
      <c r="G34" s="702" t="s">
        <v>1160</v>
      </c>
      <c r="H34" s="702" t="s">
        <v>1160</v>
      </c>
    </row>
    <row r="35" spans="1:9" s="275" customFormat="1" ht="27.75" customHeight="1">
      <c r="A35" s="698"/>
      <c r="B35" s="575" t="s">
        <v>1208</v>
      </c>
      <c r="C35" s="503">
        <v>10829885</v>
      </c>
      <c r="D35" s="503">
        <v>1508807.48</v>
      </c>
      <c r="E35" s="700">
        <f t="shared" si="4"/>
        <v>13.931888288749143</v>
      </c>
      <c r="F35" s="701">
        <f t="shared" si="3"/>
        <v>1.3292932820739016</v>
      </c>
      <c r="G35" s="710">
        <f>C31-G33</f>
        <v>0</v>
      </c>
      <c r="H35" s="710">
        <f>D31-H33</f>
        <v>0</v>
      </c>
      <c r="I35" s="711" t="s">
        <v>1327</v>
      </c>
    </row>
    <row r="36" spans="1:9" s="275" customFormat="1" ht="18" customHeight="1">
      <c r="A36" s="698"/>
      <c r="B36" s="699" t="s">
        <v>515</v>
      </c>
      <c r="C36" s="503">
        <v>4408526</v>
      </c>
      <c r="D36" s="503">
        <v>506741.46</v>
      </c>
      <c r="E36" s="700">
        <f t="shared" si="4"/>
        <v>11.494578006344979</v>
      </c>
      <c r="F36" s="701">
        <f t="shared" si="3"/>
        <v>0.4464506091435341</v>
      </c>
      <c r="I36" s="711" t="s">
        <v>1210</v>
      </c>
    </row>
    <row r="37" spans="1:9" s="2" customFormat="1" ht="38.25" customHeight="1" thickBot="1">
      <c r="A37" s="276" t="s">
        <v>51</v>
      </c>
      <c r="B37" s="695" t="s">
        <v>512</v>
      </c>
      <c r="C37" s="696">
        <f>SUM(9W!D1113)</f>
        <v>6068099</v>
      </c>
      <c r="D37" s="696">
        <f>SUM(9W!E1113)</f>
        <v>67.38</v>
      </c>
      <c r="E37" s="688">
        <f t="shared" si="4"/>
        <v>0.0011103971771060427</v>
      </c>
      <c r="F37" s="697">
        <f t="shared" si="3"/>
        <v>5.936329355030735E-05</v>
      </c>
      <c r="I37" s="2" t="s">
        <v>1209</v>
      </c>
    </row>
    <row r="38" spans="1:6" s="2" customFormat="1" ht="18" customHeight="1">
      <c r="A38" s="690" t="s">
        <v>830</v>
      </c>
      <c r="B38" s="691" t="s">
        <v>98</v>
      </c>
      <c r="C38" s="223">
        <f>C9-C20</f>
        <v>-49320328</v>
      </c>
      <c r="D38" s="223">
        <f>D9-D20</f>
        <v>49509889.28999999</v>
      </c>
      <c r="E38" s="692" t="s">
        <v>831</v>
      </c>
      <c r="F38" s="694" t="s">
        <v>831</v>
      </c>
    </row>
    <row r="39" spans="1:6" s="2" customFormat="1" ht="18.75" customHeight="1">
      <c r="A39" s="690" t="s">
        <v>836</v>
      </c>
      <c r="B39" s="691" t="s">
        <v>285</v>
      </c>
      <c r="C39" s="223">
        <f>C40-C45</f>
        <v>49320328</v>
      </c>
      <c r="D39" s="223">
        <f>D40-D45</f>
        <v>67061920.830000006</v>
      </c>
      <c r="E39" s="692" t="s">
        <v>831</v>
      </c>
      <c r="F39" s="693" t="s">
        <v>831</v>
      </c>
    </row>
    <row r="40" spans="1:6" s="2" customFormat="1" ht="18" customHeight="1">
      <c r="A40" s="677" t="s">
        <v>826</v>
      </c>
      <c r="B40" s="678" t="s">
        <v>815</v>
      </c>
      <c r="C40" s="556">
        <f>SUM(C41,C42,C43,C44)</f>
        <v>68824699</v>
      </c>
      <c r="D40" s="483">
        <f>SUM(D41,D42,D43,D44)</f>
        <v>68824699.23</v>
      </c>
      <c r="E40" s="679">
        <f aca="true" t="shared" si="5" ref="E40:E48">D40/C40*100</f>
        <v>100.00000033418237</v>
      </c>
      <c r="F40" s="368">
        <f aca="true" t="shared" si="6" ref="F40:F45">D40/D$40*100</f>
        <v>100</v>
      </c>
    </row>
    <row r="41" spans="1:6" s="2" customFormat="1" ht="18" customHeight="1" hidden="1">
      <c r="A41" s="677"/>
      <c r="B41" s="680" t="s">
        <v>857</v>
      </c>
      <c r="C41" s="364">
        <f>5PiR!D9</f>
        <v>0</v>
      </c>
      <c r="D41" s="364">
        <f>5PiR!E9</f>
        <v>0</v>
      </c>
      <c r="E41" s="681" t="e">
        <f t="shared" si="5"/>
        <v>#DIV/0!</v>
      </c>
      <c r="F41" s="368">
        <f t="shared" si="6"/>
        <v>0</v>
      </c>
    </row>
    <row r="42" spans="1:6" s="2" customFormat="1" ht="18" customHeight="1" hidden="1">
      <c r="A42" s="677"/>
      <c r="B42" s="680" t="s">
        <v>158</v>
      </c>
      <c r="C42" s="364">
        <f>5PiR!D10+5PiR!D12</f>
        <v>0</v>
      </c>
      <c r="D42" s="364">
        <f>5PiR!E10+5PiR!E12</f>
        <v>0</v>
      </c>
      <c r="E42" s="681" t="e">
        <f t="shared" si="5"/>
        <v>#DIV/0!</v>
      </c>
      <c r="F42" s="368">
        <f t="shared" si="6"/>
        <v>0</v>
      </c>
    </row>
    <row r="43" spans="1:6" s="2" customFormat="1" ht="18" customHeight="1" hidden="1">
      <c r="A43" s="677"/>
      <c r="B43" s="682" t="s">
        <v>129</v>
      </c>
      <c r="C43" s="364">
        <f>5PiR!D13</f>
        <v>0</v>
      </c>
      <c r="D43" s="364">
        <f>5PiR!E13</f>
        <v>0</v>
      </c>
      <c r="E43" s="681" t="e">
        <f>D43/C43*100</f>
        <v>#DIV/0!</v>
      </c>
      <c r="F43" s="368">
        <f t="shared" si="6"/>
        <v>0</v>
      </c>
    </row>
    <row r="44" spans="1:6" s="2" customFormat="1" ht="18" customHeight="1">
      <c r="A44" s="677"/>
      <c r="B44" s="680" t="s">
        <v>953</v>
      </c>
      <c r="C44" s="364">
        <v>68824699</v>
      </c>
      <c r="D44" s="490">
        <v>68824699.23</v>
      </c>
      <c r="E44" s="681">
        <f t="shared" si="5"/>
        <v>100.00000033418237</v>
      </c>
      <c r="F44" s="368">
        <f t="shared" si="6"/>
        <v>100</v>
      </c>
    </row>
    <row r="45" spans="1:6" s="2" customFormat="1" ht="18" customHeight="1">
      <c r="A45" s="677" t="s">
        <v>827</v>
      </c>
      <c r="B45" s="678" t="s">
        <v>196</v>
      </c>
      <c r="C45" s="683">
        <f>SUM(C46,C47,C48)</f>
        <v>19504371</v>
      </c>
      <c r="D45" s="683">
        <f>SUM(D46,D47,D48)</f>
        <v>1762778.4</v>
      </c>
      <c r="E45" s="679">
        <f t="shared" si="5"/>
        <v>9.037863358936312</v>
      </c>
      <c r="F45" s="684">
        <f t="shared" si="6"/>
        <v>2.561258414089258</v>
      </c>
    </row>
    <row r="46" spans="1:6" s="2" customFormat="1" ht="18" customHeight="1">
      <c r="A46" s="677"/>
      <c r="B46" s="680" t="s">
        <v>52</v>
      </c>
      <c r="C46" s="392">
        <v>3434371</v>
      </c>
      <c r="D46" s="392">
        <v>1762778.4</v>
      </c>
      <c r="E46" s="681">
        <f t="shared" si="5"/>
        <v>51.327547315068756</v>
      </c>
      <c r="F46" s="368">
        <f>D46/D$45*100</f>
        <v>100</v>
      </c>
    </row>
    <row r="47" spans="1:6" s="2" customFormat="1" ht="18" customHeight="1">
      <c r="A47" s="677"/>
      <c r="B47" s="680" t="s">
        <v>261</v>
      </c>
      <c r="C47" s="392">
        <v>70000</v>
      </c>
      <c r="D47" s="392">
        <f>5PiR!E19</f>
        <v>0</v>
      </c>
      <c r="E47" s="681">
        <f t="shared" si="5"/>
        <v>0</v>
      </c>
      <c r="F47" s="368">
        <f>D47/D$45*100</f>
        <v>0</v>
      </c>
    </row>
    <row r="48" spans="1:6" s="2" customFormat="1" ht="15.75" customHeight="1" thickBot="1">
      <c r="A48" s="685"/>
      <c r="B48" s="686" t="s">
        <v>99</v>
      </c>
      <c r="C48" s="687">
        <v>16000000</v>
      </c>
      <c r="D48" s="687">
        <v>0</v>
      </c>
      <c r="E48" s="688">
        <f t="shared" si="5"/>
        <v>0</v>
      </c>
      <c r="F48" s="689">
        <f>D48/D$45*100</f>
        <v>0</v>
      </c>
    </row>
    <row r="49" spans="1:6" ht="0.75" customHeight="1" thickBot="1">
      <c r="A49" s="93"/>
      <c r="B49" s="94"/>
      <c r="C49" s="95"/>
      <c r="D49" s="95"/>
      <c r="E49" s="92"/>
      <c r="F49" s="96"/>
    </row>
    <row r="50" spans="1:5" s="371" customFormat="1" ht="14.25" customHeight="1">
      <c r="A50" s="377"/>
      <c r="B50" s="378"/>
      <c r="C50" s="379"/>
      <c r="D50" s="379"/>
      <c r="E50" s="380"/>
    </row>
    <row r="51" spans="1:4" s="371" customFormat="1" ht="15.75" customHeight="1" hidden="1">
      <c r="A51" s="381"/>
      <c r="B51" s="382" t="s">
        <v>57</v>
      </c>
      <c r="C51" s="383">
        <v>317783602.74</v>
      </c>
      <c r="D51" s="383">
        <v>163014373.24</v>
      </c>
    </row>
    <row r="52" spans="1:5" s="371" customFormat="1" ht="15.75" customHeight="1" hidden="1">
      <c r="A52" s="381"/>
      <c r="B52" s="382" t="s">
        <v>58</v>
      </c>
      <c r="C52" s="384">
        <f>C9</f>
        <v>317783602.74</v>
      </c>
      <c r="D52" s="384">
        <f>D9</f>
        <v>163014373.24</v>
      </c>
      <c r="E52" s="385"/>
    </row>
    <row r="53" spans="1:5" s="371" customFormat="1" ht="15.75" customHeight="1" hidden="1" thickBot="1">
      <c r="A53" s="381"/>
      <c r="B53" s="382" t="s">
        <v>1046</v>
      </c>
      <c r="C53" s="386">
        <f>C51-C52</f>
        <v>0</v>
      </c>
      <c r="D53" s="386">
        <f>D51-D52</f>
        <v>0</v>
      </c>
      <c r="E53" s="385"/>
    </row>
    <row r="54" spans="1:5" s="371" customFormat="1" ht="15.75" customHeight="1" hidden="1" thickTop="1">
      <c r="A54" s="381"/>
      <c r="B54" s="382"/>
      <c r="C54" s="387"/>
      <c r="D54" s="387"/>
      <c r="E54" s="385"/>
    </row>
    <row r="55" spans="1:5" s="371" customFormat="1" ht="15.75" customHeight="1" hidden="1">
      <c r="A55" s="381"/>
      <c r="B55" s="382" t="s">
        <v>56</v>
      </c>
      <c r="C55" s="387">
        <v>367103930.74</v>
      </c>
      <c r="D55" s="387">
        <v>113504483.95</v>
      </c>
      <c r="E55" s="388"/>
    </row>
    <row r="56" spans="1:5" s="371" customFormat="1" ht="15.75" customHeight="1" hidden="1">
      <c r="A56" s="381"/>
      <c r="B56" s="382" t="s">
        <v>58</v>
      </c>
      <c r="C56" s="389">
        <f>SUM(C20)</f>
        <v>367103930.74</v>
      </c>
      <c r="D56" s="389">
        <f>SUM(D20)</f>
        <v>113504483.95000002</v>
      </c>
      <c r="E56" s="385"/>
    </row>
    <row r="57" spans="1:5" s="371" customFormat="1" ht="13.5" hidden="1" thickBot="1">
      <c r="A57" s="381"/>
      <c r="B57" s="382" t="s">
        <v>1046</v>
      </c>
      <c r="C57" s="390">
        <f>C55-C56</f>
        <v>0</v>
      </c>
      <c r="D57" s="390">
        <f>D55-D56</f>
        <v>0</v>
      </c>
      <c r="E57" s="385"/>
    </row>
    <row r="58" spans="2:4" ht="13.5" hidden="1" thickTop="1">
      <c r="B58" s="81"/>
      <c r="C58" s="98"/>
      <c r="D58" s="98"/>
    </row>
    <row r="59" spans="2:4" ht="12.75">
      <c r="B59" s="81"/>
      <c r="C59" s="98"/>
      <c r="D59" s="98"/>
    </row>
    <row r="60" spans="2:4" ht="12.75">
      <c r="B60" s="81"/>
      <c r="C60" s="98"/>
      <c r="D60" s="98"/>
    </row>
    <row r="61" spans="2:4" ht="12.75">
      <c r="B61" s="81"/>
      <c r="C61" s="98"/>
      <c r="D61" s="98"/>
    </row>
    <row r="62" spans="2:4" ht="12.75">
      <c r="B62" s="81"/>
      <c r="C62" s="98"/>
      <c r="D62" s="98"/>
    </row>
    <row r="63" ht="12.75">
      <c r="B63" s="81"/>
    </row>
    <row r="64" ht="12.75">
      <c r="B64" s="81"/>
    </row>
    <row r="65" ht="12.75">
      <c r="B65" s="81"/>
    </row>
    <row r="66" ht="12.75">
      <c r="B66" s="81"/>
    </row>
    <row r="67" ht="12.75">
      <c r="B67" s="81"/>
    </row>
    <row r="68" ht="12.75">
      <c r="B68" s="81"/>
    </row>
    <row r="69" ht="12.75">
      <c r="B69" s="81"/>
    </row>
    <row r="70" ht="12.75">
      <c r="B70" s="81"/>
    </row>
    <row r="71" ht="12.75">
      <c r="B71" s="81"/>
    </row>
    <row r="72" ht="12.75">
      <c r="B72" s="81"/>
    </row>
    <row r="73" ht="12.75">
      <c r="B73" s="81"/>
    </row>
    <row r="74" ht="12.75">
      <c r="B74" s="81"/>
    </row>
    <row r="75" ht="12.75">
      <c r="B75" s="81"/>
    </row>
    <row r="76" ht="12.75">
      <c r="B76" s="81"/>
    </row>
    <row r="77" ht="12.75">
      <c r="B77" s="81"/>
    </row>
    <row r="78" ht="12.75">
      <c r="B78" s="81"/>
    </row>
    <row r="79" ht="12.75">
      <c r="B79" s="81"/>
    </row>
    <row r="80" ht="12.75">
      <c r="B80" s="81"/>
    </row>
    <row r="81" ht="12.75">
      <c r="B81" s="81"/>
    </row>
    <row r="82" ht="12.75">
      <c r="B82" s="81"/>
    </row>
    <row r="83" ht="12.75">
      <c r="B83" s="81"/>
    </row>
    <row r="84" ht="12.75">
      <c r="B84" s="81"/>
    </row>
    <row r="85" ht="12.75">
      <c r="B85" s="81"/>
    </row>
    <row r="86" ht="12.75">
      <c r="B86" s="81"/>
    </row>
    <row r="87" ht="12.75">
      <c r="B87" s="81"/>
    </row>
    <row r="88" ht="12.75">
      <c r="B88" s="81"/>
    </row>
    <row r="89" ht="12.75">
      <c r="B89" s="81"/>
    </row>
    <row r="90" ht="12.75">
      <c r="B90" s="81"/>
    </row>
    <row r="91" ht="12.75">
      <c r="B91" s="81"/>
    </row>
    <row r="92" ht="12.75">
      <c r="B92" s="81"/>
    </row>
    <row r="93" ht="12.75">
      <c r="B93" s="81"/>
    </row>
    <row r="94" ht="12.75">
      <c r="B94" s="81"/>
    </row>
    <row r="95" ht="12.75">
      <c r="B95" s="81"/>
    </row>
    <row r="96" ht="12.75">
      <c r="B96" s="81"/>
    </row>
    <row r="97" ht="12.75">
      <c r="B97" s="81"/>
    </row>
    <row r="98" ht="12.75">
      <c r="B98" s="81"/>
    </row>
    <row r="99" ht="12.75">
      <c r="B99" s="81"/>
    </row>
    <row r="100" ht="12.75">
      <c r="B100" s="81"/>
    </row>
    <row r="101" ht="12.75">
      <c r="B101" s="81"/>
    </row>
    <row r="102" ht="12.75">
      <c r="B102" s="81"/>
    </row>
    <row r="103" ht="12.75">
      <c r="B103" s="81"/>
    </row>
    <row r="104" ht="12.75">
      <c r="B104" s="81"/>
    </row>
    <row r="105" ht="12.75">
      <c r="B105" s="81"/>
    </row>
    <row r="106" ht="12.75">
      <c r="B106" s="81"/>
    </row>
    <row r="107" ht="12.75">
      <c r="B107" s="81"/>
    </row>
    <row r="108" ht="12.75">
      <c r="B108" s="81"/>
    </row>
    <row r="109" ht="12.75">
      <c r="B109" s="81"/>
    </row>
    <row r="110" ht="12.75">
      <c r="B110" s="81"/>
    </row>
    <row r="111" ht="12.75">
      <c r="B111" s="81"/>
    </row>
    <row r="112" ht="12.75">
      <c r="B112" s="81"/>
    </row>
    <row r="113" ht="12.75">
      <c r="B113" s="81"/>
    </row>
    <row r="114" ht="12.75">
      <c r="B114" s="81"/>
    </row>
    <row r="115" ht="12.75">
      <c r="B115" s="81"/>
    </row>
    <row r="116" ht="12.75">
      <c r="B116" s="81"/>
    </row>
    <row r="117" ht="12.75">
      <c r="B117" s="81"/>
    </row>
    <row r="118" ht="12.75">
      <c r="B118" s="81"/>
    </row>
    <row r="119" ht="12.75">
      <c r="B119" s="81"/>
    </row>
    <row r="120" ht="12.75">
      <c r="B120" s="81"/>
    </row>
    <row r="121" ht="12.75">
      <c r="B121" s="81"/>
    </row>
    <row r="122" ht="12.75">
      <c r="B122" s="81"/>
    </row>
    <row r="123" ht="12.75">
      <c r="B123" s="81"/>
    </row>
    <row r="124" ht="12.75">
      <c r="B124" s="81"/>
    </row>
    <row r="125" ht="12.75">
      <c r="B125" s="81"/>
    </row>
    <row r="126" ht="12.75">
      <c r="B126" s="81"/>
    </row>
    <row r="127" ht="12.75">
      <c r="B127" s="81"/>
    </row>
    <row r="128" ht="12.75">
      <c r="B128" s="81"/>
    </row>
    <row r="129" ht="12.75">
      <c r="B129" s="81"/>
    </row>
    <row r="130" ht="12.75">
      <c r="B130" s="81"/>
    </row>
    <row r="131" ht="12.75">
      <c r="B131" s="81"/>
    </row>
    <row r="132" ht="12.75">
      <c r="B132" s="81"/>
    </row>
    <row r="133" ht="12.75">
      <c r="B133" s="81"/>
    </row>
    <row r="134" ht="12.75">
      <c r="B134" s="81"/>
    </row>
    <row r="135" ht="12.75">
      <c r="B135" s="81"/>
    </row>
    <row r="136" ht="12.75">
      <c r="B136" s="81"/>
    </row>
    <row r="137" ht="12.75">
      <c r="B137" s="81"/>
    </row>
    <row r="138" ht="12.75">
      <c r="B138" s="81"/>
    </row>
    <row r="139" ht="12.75">
      <c r="B139" s="81"/>
    </row>
    <row r="140" ht="12.75">
      <c r="B140" s="81"/>
    </row>
    <row r="141" ht="12.75">
      <c r="B141" s="81"/>
    </row>
    <row r="142" ht="12.75">
      <c r="B142" s="81"/>
    </row>
    <row r="143" ht="12.75">
      <c r="B143" s="81"/>
    </row>
    <row r="144" ht="12.75">
      <c r="B144" s="81"/>
    </row>
    <row r="145" ht="12.75">
      <c r="B145" s="81"/>
    </row>
    <row r="146" ht="12.75">
      <c r="B146" s="81"/>
    </row>
    <row r="147" ht="12.75">
      <c r="B147" s="81"/>
    </row>
  </sheetData>
  <sheetProtection password="CF53" sheet="1" formatCells="0" formatColumns="0" formatRows="0" insertColumns="0" insertRows="0" insertHyperlinks="0" deleteColumns="0" deleteRows="0" sort="0" autoFilter="0" pivotTables="0"/>
  <mergeCells count="8">
    <mergeCell ref="E1:F1"/>
    <mergeCell ref="A4:E4"/>
    <mergeCell ref="C6:D6"/>
    <mergeCell ref="A3:F3"/>
    <mergeCell ref="A6:A7"/>
    <mergeCell ref="B6:B7"/>
    <mergeCell ref="E6:E7"/>
    <mergeCell ref="F6:F7"/>
  </mergeCells>
  <printOptions/>
  <pageMargins left="0.984251968503937" right="0.9055118110236221" top="0.984251968503937" bottom="0.984251968503937" header="0.5118110236220472" footer="0.5118110236220472"/>
  <pageSetup errors="blank" firstPageNumber="8" useFirstPageNumber="1" horizontalDpi="600" verticalDpi="600" orientation="portrait" paperSize="9" scale="96" r:id="rId1"/>
  <headerFooter alignWithMargins="0">
    <oddFooter>&amp;C&amp;9&amp;P</oddFooter>
  </headerFooter>
  <rowBreaks count="1" manualBreakCount="1">
    <brk id="3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J199"/>
  <sheetViews>
    <sheetView view="pageBreakPreview" zoomScale="136" zoomScaleSheetLayoutView="136" zoomScalePageLayoutView="0" workbookViewId="0" topLeftCell="A1">
      <pane ySplit="7" topLeftCell="A32" activePane="bottomLeft" state="frozen"/>
      <selection pane="topLeft" activeCell="I244" sqref="I244"/>
      <selection pane="bottomLeft" activeCell="K33" sqref="K33"/>
    </sheetView>
  </sheetViews>
  <sheetFormatPr defaultColWidth="9.00390625" defaultRowHeight="12.75"/>
  <cols>
    <col min="1" max="1" width="4.375" style="310" customWidth="1"/>
    <col min="2" max="2" width="27.625" style="311" customWidth="1"/>
    <col min="3" max="3" width="13.25390625" style="311" customWidth="1"/>
    <col min="4" max="4" width="13.625" style="311" customWidth="1"/>
    <col min="5" max="5" width="5.625" style="312" customWidth="1"/>
    <col min="6" max="7" width="13.375" style="311" customWidth="1"/>
    <col min="8" max="8" width="6.00390625" style="312" customWidth="1"/>
    <col min="9" max="9" width="14.375" style="99" customWidth="1"/>
    <col min="10" max="16384" width="9.125" style="99" customWidth="1"/>
  </cols>
  <sheetData>
    <row r="1" spans="1:8" s="311" customFormat="1" ht="18.75" customHeight="1">
      <c r="A1" s="310"/>
      <c r="E1" s="312"/>
      <c r="G1" s="1453" t="s">
        <v>917</v>
      </c>
      <c r="H1" s="1453"/>
    </row>
    <row r="2" spans="1:8" s="311" customFormat="1" ht="26.25" customHeight="1">
      <c r="A2" s="310"/>
      <c r="E2" s="312"/>
      <c r="H2" s="312"/>
    </row>
    <row r="3" spans="1:10" s="311" customFormat="1" ht="12.75">
      <c r="A3" s="1461" t="s">
        <v>784</v>
      </c>
      <c r="B3" s="1461"/>
      <c r="C3" s="1461"/>
      <c r="D3" s="1461"/>
      <c r="E3" s="1461"/>
      <c r="F3" s="1461"/>
      <c r="G3" s="1461"/>
      <c r="H3" s="1461"/>
      <c r="I3" s="341"/>
      <c r="J3" s="341"/>
    </row>
    <row r="4" spans="1:8" s="311" customFormat="1" ht="10.5" customHeight="1" thickBot="1">
      <c r="A4" s="313"/>
      <c r="B4" s="314"/>
      <c r="C4" s="314"/>
      <c r="D4" s="314"/>
      <c r="E4" s="314"/>
      <c r="F4" s="314"/>
      <c r="G4" s="314"/>
      <c r="H4" s="342" t="s">
        <v>169</v>
      </c>
    </row>
    <row r="5" spans="1:9" s="311" customFormat="1" ht="15" customHeight="1">
      <c r="A5" s="1454" t="s">
        <v>122</v>
      </c>
      <c r="B5" s="1456" t="s">
        <v>232</v>
      </c>
      <c r="C5" s="1458" t="s">
        <v>233</v>
      </c>
      <c r="D5" s="1459"/>
      <c r="E5" s="1459"/>
      <c r="F5" s="1458" t="s">
        <v>816</v>
      </c>
      <c r="G5" s="1459"/>
      <c r="H5" s="1460"/>
      <c r="I5" s="343"/>
    </row>
    <row r="6" spans="1:8" s="311" customFormat="1" ht="14.25" customHeight="1">
      <c r="A6" s="1455"/>
      <c r="B6" s="1457"/>
      <c r="C6" s="315" t="s">
        <v>817</v>
      </c>
      <c r="D6" s="316" t="s">
        <v>173</v>
      </c>
      <c r="E6" s="316" t="s">
        <v>174</v>
      </c>
      <c r="F6" s="315" t="s">
        <v>817</v>
      </c>
      <c r="G6" s="316" t="s">
        <v>173</v>
      </c>
      <c r="H6" s="344" t="s">
        <v>174</v>
      </c>
    </row>
    <row r="7" spans="1:8" s="346" customFormat="1" ht="11.25" thickBot="1">
      <c r="A7" s="317">
        <v>1</v>
      </c>
      <c r="B7" s="318">
        <v>2</v>
      </c>
      <c r="C7" s="318">
        <v>3</v>
      </c>
      <c r="D7" s="318">
        <v>4</v>
      </c>
      <c r="E7" s="318">
        <v>5</v>
      </c>
      <c r="F7" s="318">
        <v>6</v>
      </c>
      <c r="G7" s="318">
        <v>7</v>
      </c>
      <c r="H7" s="345">
        <v>8</v>
      </c>
    </row>
    <row r="8" spans="1:8" s="311" customFormat="1" ht="4.5" customHeight="1">
      <c r="A8" s="319"/>
      <c r="B8" s="320"/>
      <c r="C8" s="320"/>
      <c r="D8" s="320"/>
      <c r="E8" s="321"/>
      <c r="F8" s="347"/>
      <c r="G8" s="347"/>
      <c r="H8" s="348"/>
    </row>
    <row r="9" spans="1:8" ht="19.5" customHeight="1">
      <c r="A9" s="233" t="s">
        <v>175</v>
      </c>
      <c r="B9" s="320" t="s">
        <v>234</v>
      </c>
      <c r="C9" s="53">
        <f>SUM(6DOCHODY!E8,6DOCHODY!E603)</f>
        <v>19838.33</v>
      </c>
      <c r="D9" s="53">
        <f>SUM(6DOCHODY!F8,6DOCHODY!F603)</f>
        <v>20488.800000000003</v>
      </c>
      <c r="E9" s="322">
        <f aca="true" t="shared" si="0" ref="E9:E17">D9*100/C9</f>
        <v>103.27885462133153</v>
      </c>
      <c r="F9" s="53">
        <f>SUM(9W!D8,9W!D685)</f>
        <v>508238.33</v>
      </c>
      <c r="G9" s="53">
        <f>SUM(9W!E8,9W!E685)</f>
        <v>93508.99</v>
      </c>
      <c r="H9" s="54">
        <f aca="true" t="shared" si="1" ref="H9:H22">G9*100/F9</f>
        <v>18.398649704362125</v>
      </c>
    </row>
    <row r="10" spans="1:8" ht="19.5" customHeight="1">
      <c r="A10" s="233" t="s">
        <v>177</v>
      </c>
      <c r="B10" s="320" t="s">
        <v>235</v>
      </c>
      <c r="C10" s="53">
        <f>SUM(6DOCHODY!E15)</f>
        <v>41200</v>
      </c>
      <c r="D10" s="53">
        <f>SUM(6DOCHODY!F15)</f>
        <v>708.3299999999999</v>
      </c>
      <c r="E10" s="322">
        <f t="shared" si="0"/>
        <v>1.719247572815534</v>
      </c>
      <c r="F10" s="53">
        <f>SUM(9W!D21)</f>
        <v>52000</v>
      </c>
      <c r="G10" s="53">
        <f>SUM(9W!E21)</f>
        <v>324</v>
      </c>
      <c r="H10" s="54">
        <f t="shared" si="1"/>
        <v>0.6230769230769231</v>
      </c>
    </row>
    <row r="11" spans="1:8" ht="27.75" customHeight="1" hidden="1">
      <c r="A11" s="233" t="s">
        <v>331</v>
      </c>
      <c r="B11" s="323" t="s">
        <v>201</v>
      </c>
      <c r="C11" s="53">
        <f>6DOCHODY!E20</f>
        <v>0</v>
      </c>
      <c r="D11" s="53">
        <f>6DOCHODY!F20</f>
        <v>0</v>
      </c>
      <c r="E11" s="322" t="e">
        <f t="shared" si="0"/>
        <v>#DIV/0!</v>
      </c>
      <c r="F11" s="53">
        <f>SUM(9W!D26)</f>
        <v>0</v>
      </c>
      <c r="G11" s="53">
        <f>SUM(9W!E26)</f>
        <v>0</v>
      </c>
      <c r="H11" s="54" t="e">
        <f>G11/F11*100</f>
        <v>#DIV/0!</v>
      </c>
    </row>
    <row r="12" spans="1:8" ht="19.5" customHeight="1">
      <c r="A12" s="233" t="s">
        <v>179</v>
      </c>
      <c r="B12" s="320" t="s">
        <v>236</v>
      </c>
      <c r="C12" s="53">
        <f>6DOCHODY!E23</f>
        <v>60000</v>
      </c>
      <c r="D12" s="53">
        <f>6DOCHODY!F23</f>
        <v>60000</v>
      </c>
      <c r="E12" s="322">
        <f t="shared" si="0"/>
        <v>100</v>
      </c>
      <c r="F12" s="53">
        <f>SUM(9W!D31)</f>
        <v>526006</v>
      </c>
      <c r="G12" s="53">
        <f>SUM(9W!E31)</f>
        <v>197281.66999999998</v>
      </c>
      <c r="H12" s="54">
        <f t="shared" si="1"/>
        <v>37.50559309209401</v>
      </c>
    </row>
    <row r="13" spans="1:8" ht="19.5" customHeight="1" hidden="1">
      <c r="A13" s="233" t="s">
        <v>248</v>
      </c>
      <c r="B13" s="320" t="s">
        <v>249</v>
      </c>
      <c r="C13" s="53">
        <f>SUM(6DOCHODY!E28)</f>
        <v>0</v>
      </c>
      <c r="D13" s="53">
        <f>SUM(6DOCHODY!F28)</f>
        <v>0</v>
      </c>
      <c r="E13" s="322" t="e">
        <f t="shared" si="0"/>
        <v>#DIV/0!</v>
      </c>
      <c r="F13" s="53">
        <v>0</v>
      </c>
      <c r="G13" s="53">
        <v>0</v>
      </c>
      <c r="H13" s="54" t="s">
        <v>799</v>
      </c>
    </row>
    <row r="14" spans="1:8" ht="19.5" customHeight="1">
      <c r="A14" s="233" t="s">
        <v>263</v>
      </c>
      <c r="B14" s="320" t="s">
        <v>839</v>
      </c>
      <c r="C14" s="53">
        <f>SUM(6DOCHODY!E31,6DOCHODY!E608)</f>
        <v>4710590</v>
      </c>
      <c r="D14" s="53">
        <f>SUM(6DOCHODY!F31,6DOCHODY!F608)</f>
        <v>722907.59</v>
      </c>
      <c r="E14" s="322">
        <f t="shared" si="0"/>
        <v>15.346434098488725</v>
      </c>
      <c r="F14" s="53">
        <f>SUM(9W!D39,9W!D690)</f>
        <v>109880578</v>
      </c>
      <c r="G14" s="53">
        <f>SUM(9W!E39,9W!E690)</f>
        <v>20443724.22</v>
      </c>
      <c r="H14" s="54">
        <f t="shared" si="1"/>
        <v>18.605402876566593</v>
      </c>
    </row>
    <row r="15" spans="1:8" ht="19.5" customHeight="1">
      <c r="A15" s="233" t="s">
        <v>268</v>
      </c>
      <c r="B15" s="320" t="s">
        <v>237</v>
      </c>
      <c r="C15" s="53">
        <f>SUM(6DOCHODY!E63)</f>
        <v>0</v>
      </c>
      <c r="D15" s="53">
        <f>SUM(6DOCHODY!F63)</f>
        <v>0</v>
      </c>
      <c r="E15" s="322" t="e">
        <f t="shared" si="0"/>
        <v>#DIV/0!</v>
      </c>
      <c r="F15" s="53">
        <f>SUM(9W!D61,9W!D704)</f>
        <v>1709000</v>
      </c>
      <c r="G15" s="53">
        <f>SUM(9W!E61,9W!E704)</f>
        <v>199726.88</v>
      </c>
      <c r="H15" s="54">
        <f t="shared" si="1"/>
        <v>11.686768870684611</v>
      </c>
    </row>
    <row r="16" spans="1:8" ht="19.5" customHeight="1">
      <c r="A16" s="233" t="s">
        <v>270</v>
      </c>
      <c r="B16" s="323" t="s">
        <v>238</v>
      </c>
      <c r="C16" s="53">
        <f>SUM(6DOCHODY!E82,6DOCHODY!E633)</f>
        <v>42744310</v>
      </c>
      <c r="D16" s="53">
        <f>SUM(6DOCHODY!F82,6DOCHODY!F633)</f>
        <v>31474157.7</v>
      </c>
      <c r="E16" s="322">
        <f t="shared" si="0"/>
        <v>73.63356128570095</v>
      </c>
      <c r="F16" s="53">
        <f>SUM(9W!D72,9W!D712)</f>
        <v>22693804</v>
      </c>
      <c r="G16" s="53">
        <f>SUM(9W!E72,9W!E712)</f>
        <v>1987070.08</v>
      </c>
      <c r="H16" s="54">
        <f t="shared" si="1"/>
        <v>8.756002651648881</v>
      </c>
    </row>
    <row r="17" spans="1:8" ht="19.5" customHeight="1">
      <c r="A17" s="233" t="s">
        <v>219</v>
      </c>
      <c r="B17" s="323" t="s">
        <v>239</v>
      </c>
      <c r="C17" s="53">
        <f>SUM(6DOCHODY!E111,6DOCHODY!E638)</f>
        <v>1350000</v>
      </c>
      <c r="D17" s="53">
        <f>SUM(6DOCHODY!F111,6DOCHODY!F638)</f>
        <v>634667.56</v>
      </c>
      <c r="E17" s="322">
        <f t="shared" si="0"/>
        <v>47.01241185185186</v>
      </c>
      <c r="F17" s="53">
        <f>SUM(9W!D93,9W!D720)</f>
        <v>3193000</v>
      </c>
      <c r="G17" s="53">
        <f>SUM(9W!E93,9W!E720)</f>
        <v>679236.02</v>
      </c>
      <c r="H17" s="54">
        <f t="shared" si="1"/>
        <v>21.272659567804574</v>
      </c>
    </row>
    <row r="18" spans="1:9" ht="19.5" customHeight="1">
      <c r="A18" s="233" t="s">
        <v>644</v>
      </c>
      <c r="B18" s="323" t="s">
        <v>240</v>
      </c>
      <c r="C18" s="53">
        <f>SUM(6DOCHODY!E123,6DOCHODY!E660)</f>
        <v>7242200</v>
      </c>
      <c r="D18" s="53">
        <f>SUM(6DOCHODY!F123,6DOCHODY!F660)</f>
        <v>681868.7</v>
      </c>
      <c r="E18" s="322">
        <f>D18/C18*100</f>
        <v>9.41521498992019</v>
      </c>
      <c r="F18" s="53">
        <f>SUM(9W!D120,9W!D752)</f>
        <v>37237149</v>
      </c>
      <c r="G18" s="53">
        <f>SUM(9W!E120,9W!E752)</f>
        <v>12627431.93</v>
      </c>
      <c r="H18" s="54">
        <f t="shared" si="1"/>
        <v>33.91084513478731</v>
      </c>
      <c r="I18" s="100"/>
    </row>
    <row r="19" spans="1:8" ht="41.25" customHeight="1">
      <c r="A19" s="233" t="s">
        <v>819</v>
      </c>
      <c r="B19" s="323" t="s">
        <v>192</v>
      </c>
      <c r="C19" s="53">
        <f>SUM(6DOCHODY!E169)</f>
        <v>8280</v>
      </c>
      <c r="D19" s="53">
        <f>SUM(6DOCHODY!F169)</f>
        <v>4140</v>
      </c>
      <c r="E19" s="322">
        <f>D19/C19*100</f>
        <v>50</v>
      </c>
      <c r="F19" s="53">
        <f>SUM(9W!D170)</f>
        <v>8280</v>
      </c>
      <c r="G19" s="53">
        <f>SUM(9W!E170)</f>
        <v>0</v>
      </c>
      <c r="H19" s="54">
        <f t="shared" si="1"/>
        <v>0</v>
      </c>
    </row>
    <row r="20" spans="1:8" ht="18.75" customHeight="1" hidden="1">
      <c r="A20" s="233" t="s">
        <v>362</v>
      </c>
      <c r="B20" s="323" t="s">
        <v>1165</v>
      </c>
      <c r="C20" s="53">
        <v>0</v>
      </c>
      <c r="D20" s="53">
        <v>0</v>
      </c>
      <c r="E20" s="322" t="s">
        <v>799</v>
      </c>
      <c r="F20" s="53">
        <f>9W!D200</f>
        <v>0</v>
      </c>
      <c r="G20" s="53">
        <f>9W!E200</f>
        <v>0</v>
      </c>
      <c r="H20" s="54" t="e">
        <f t="shared" si="1"/>
        <v>#DIV/0!</v>
      </c>
    </row>
    <row r="21" spans="1:8" ht="30" customHeight="1">
      <c r="A21" s="233" t="s">
        <v>5</v>
      </c>
      <c r="B21" s="323" t="s">
        <v>241</v>
      </c>
      <c r="C21" s="53">
        <f>SUM(6DOCHODY!E180,6DOCHODY!E672)</f>
        <v>5951411</v>
      </c>
      <c r="D21" s="53">
        <f>SUM(6DOCHODY!F180,6DOCHODY!F672)</f>
        <v>3698145.8600000003</v>
      </c>
      <c r="E21" s="322">
        <f>D21/C21*100</f>
        <v>62.13897611843646</v>
      </c>
      <c r="F21" s="53">
        <f>SUM(9W!D207,9W!D774)</f>
        <v>7660057</v>
      </c>
      <c r="G21" s="53">
        <f>SUM(9W!E207,9W!E774)</f>
        <v>3676297.58</v>
      </c>
      <c r="H21" s="54">
        <f t="shared" si="1"/>
        <v>47.99308386347517</v>
      </c>
    </row>
    <row r="22" spans="1:8" ht="21" customHeight="1">
      <c r="A22" s="233" t="s">
        <v>1320</v>
      </c>
      <c r="B22" s="323" t="s">
        <v>1322</v>
      </c>
      <c r="C22" s="53">
        <f>6DOCHODY!E683</f>
        <v>125208</v>
      </c>
      <c r="D22" s="53">
        <f>6DOCHODY!F683</f>
        <v>62604</v>
      </c>
      <c r="E22" s="322">
        <f>D22/C22*100</f>
        <v>50</v>
      </c>
      <c r="F22" s="53">
        <f>9W!D804</f>
        <v>125208</v>
      </c>
      <c r="G22" s="53">
        <f>9W!E804</f>
        <v>57039.45</v>
      </c>
      <c r="H22" s="54">
        <f t="shared" si="1"/>
        <v>45.55575522330842</v>
      </c>
    </row>
    <row r="23" spans="1:8" ht="66.75" customHeight="1">
      <c r="A23" s="233" t="s">
        <v>242</v>
      </c>
      <c r="B23" s="323" t="s">
        <v>200</v>
      </c>
      <c r="C23" s="53">
        <f>SUM(6DOCHODY!E686,6DOCHODY!E211)</f>
        <v>140439758</v>
      </c>
      <c r="D23" s="53">
        <f>SUM(6DOCHODY!F686,6DOCHODY!F211)</f>
        <v>70001204.70000002</v>
      </c>
      <c r="E23" s="322">
        <f>D23*100/C23</f>
        <v>49.844293166611706</v>
      </c>
      <c r="F23" s="53">
        <f>SUM(9W!D248)</f>
        <v>0</v>
      </c>
      <c r="G23" s="53">
        <f>SUM(9W!E248)</f>
        <v>0</v>
      </c>
      <c r="H23" s="54" t="e">
        <f aca="true" t="shared" si="2" ref="H23:H34">G23*100/F23</f>
        <v>#DIV/0!</v>
      </c>
    </row>
    <row r="24" spans="1:8" ht="19.5" customHeight="1">
      <c r="A24" s="233" t="s">
        <v>9</v>
      </c>
      <c r="B24" s="320" t="s">
        <v>243</v>
      </c>
      <c r="C24" s="53">
        <v>0</v>
      </c>
      <c r="D24" s="53">
        <v>0</v>
      </c>
      <c r="E24" s="322" t="e">
        <f aca="true" t="shared" si="3" ref="E24:E34">D24*100/C24</f>
        <v>#DIV/0!</v>
      </c>
      <c r="F24" s="53">
        <f>SUM(9W!D254,9W!D811)</f>
        <v>3670511</v>
      </c>
      <c r="G24" s="53">
        <f>SUM(9W!E254,9W!E811)</f>
        <v>1020609.21</v>
      </c>
      <c r="H24" s="54">
        <f t="shared" si="2"/>
        <v>27.805643682855056</v>
      </c>
    </row>
    <row r="25" spans="1:8" ht="19.5" customHeight="1">
      <c r="A25" s="233" t="s">
        <v>10</v>
      </c>
      <c r="B25" s="320" t="s">
        <v>244</v>
      </c>
      <c r="C25" s="53">
        <f>SUM(6DOCHODY!E261,6DOCHODY!E698)</f>
        <v>74385228</v>
      </c>
      <c r="D25" s="53">
        <f>SUM(6DOCHODY!F261,6DOCHODY!F698)</f>
        <v>35473958.53</v>
      </c>
      <c r="E25" s="322">
        <f t="shared" si="3"/>
        <v>47.68952046500415</v>
      </c>
      <c r="F25" s="53">
        <f>SUM(9W!D263)</f>
        <v>2581552</v>
      </c>
      <c r="G25" s="53">
        <f>SUM(9W!E263)</f>
        <v>53353.57</v>
      </c>
      <c r="H25" s="54">
        <f t="shared" si="2"/>
        <v>2.0667245904789056</v>
      </c>
    </row>
    <row r="26" spans="1:9" ht="19.5" customHeight="1">
      <c r="A26" s="233" t="s">
        <v>12</v>
      </c>
      <c r="B26" s="320" t="s">
        <v>840</v>
      </c>
      <c r="C26" s="53">
        <f>SUM(6DOCHODY!E280,6DOCHODY!E714)</f>
        <v>2035504</v>
      </c>
      <c r="D26" s="53">
        <f>SUM(6DOCHODY!F280,6DOCHODY!F714)</f>
        <v>184887.4000000001</v>
      </c>
      <c r="E26" s="322">
        <f t="shared" si="3"/>
        <v>9.08312634119118</v>
      </c>
      <c r="F26" s="53">
        <f>SUM(9W!D275,9W!D814)</f>
        <v>64255729</v>
      </c>
      <c r="G26" s="53">
        <f>SUM(9W!E275,9W!E814)</f>
        <v>28794082.71</v>
      </c>
      <c r="H26" s="54">
        <f t="shared" si="2"/>
        <v>44.811697195124815</v>
      </c>
      <c r="I26" s="101"/>
    </row>
    <row r="27" spans="1:9" ht="19.5" customHeight="1">
      <c r="A27" s="233" t="s">
        <v>21</v>
      </c>
      <c r="B27" s="320" t="s">
        <v>841</v>
      </c>
      <c r="C27" s="53">
        <f>SUM(6DOCHODY!E330,6DOCHODY!E742)</f>
        <v>645488</v>
      </c>
      <c r="D27" s="53">
        <f>SUM(6DOCHODY!F330,6DOCHODY!F742)</f>
        <v>399278.91000000003</v>
      </c>
      <c r="E27" s="322">
        <f t="shared" si="3"/>
        <v>61.85690671244082</v>
      </c>
      <c r="F27" s="53">
        <f>SUM(9W!D355,9W!D873)</f>
        <v>16457397</v>
      </c>
      <c r="G27" s="53">
        <f>SUM(9W!E355,9W!E873)</f>
        <v>6462631.01</v>
      </c>
      <c r="H27" s="54">
        <f t="shared" si="2"/>
        <v>39.26885284471171</v>
      </c>
      <c r="I27" s="100"/>
    </row>
    <row r="28" spans="1:8" ht="19.5" customHeight="1">
      <c r="A28" s="233" t="s">
        <v>440</v>
      </c>
      <c r="B28" s="320" t="s">
        <v>456</v>
      </c>
      <c r="C28" s="53">
        <f>SUM(6DOCHODY!E352,6DOCHODY!E756)</f>
        <v>2993390.41</v>
      </c>
      <c r="D28" s="53">
        <f>SUM(6DOCHODY!F352,6DOCHODY!F756)</f>
        <v>1900236.94</v>
      </c>
      <c r="E28" s="322">
        <f t="shared" si="3"/>
        <v>63.48109266508941</v>
      </c>
      <c r="F28" s="53">
        <f>SUM(9W!D396,9W!D907)</f>
        <v>10728197.41</v>
      </c>
      <c r="G28" s="53">
        <f>SUM(9W!E396,9W!E907)</f>
        <v>5273098.149999999</v>
      </c>
      <c r="H28" s="54">
        <f t="shared" si="2"/>
        <v>49.151762858920016</v>
      </c>
    </row>
    <row r="29" spans="1:8" ht="27" customHeight="1">
      <c r="A29" s="233" t="s">
        <v>25</v>
      </c>
      <c r="B29" s="324" t="s">
        <v>199</v>
      </c>
      <c r="C29" s="53">
        <f>SUM(6DOCHODY!E431,6DOCHODY!E787)</f>
        <v>182748</v>
      </c>
      <c r="D29" s="53">
        <f>SUM(6DOCHODY!F431,6DOCHODY!F787)</f>
        <v>96541.59</v>
      </c>
      <c r="E29" s="322">
        <f t="shared" si="3"/>
        <v>52.82771357278876</v>
      </c>
      <c r="F29" s="53">
        <f>SUM(9W!D491,9W!D950)</f>
        <v>2628167</v>
      </c>
      <c r="G29" s="53">
        <f>SUM(9W!E491,9W!E950)</f>
        <v>1163134.62</v>
      </c>
      <c r="H29" s="54">
        <f t="shared" si="2"/>
        <v>44.25649587716458</v>
      </c>
    </row>
    <row r="30" spans="1:8" ht="19.5" customHeight="1">
      <c r="A30" s="233" t="s">
        <v>35</v>
      </c>
      <c r="B30" s="320" t="s">
        <v>245</v>
      </c>
      <c r="C30" s="53">
        <f>SUM(6DOCHODY!E454,6DOCHODY!E811)</f>
        <v>51516</v>
      </c>
      <c r="D30" s="53">
        <f>SUM(6DOCHODY!F454,6DOCHODY!F811)</f>
        <v>45989</v>
      </c>
      <c r="E30" s="322">
        <f t="shared" si="3"/>
        <v>89.2712943551518</v>
      </c>
      <c r="F30" s="53">
        <f>SUM(9W!D513,9W!D986)</f>
        <v>7051174</v>
      </c>
      <c r="G30" s="53">
        <f>SUM(9W!E513,9W!E986)</f>
        <v>3293325.5999999996</v>
      </c>
      <c r="H30" s="54">
        <f t="shared" si="2"/>
        <v>46.70606057941556</v>
      </c>
    </row>
    <row r="31" spans="1:8" ht="19.5" customHeight="1">
      <c r="A31" s="233" t="s">
        <v>1430</v>
      </c>
      <c r="B31" s="320" t="s">
        <v>1431</v>
      </c>
      <c r="C31" s="53">
        <f>6DOCHODY!E831+6DOCHODY!E462</f>
        <v>21696169</v>
      </c>
      <c r="D31" s="53">
        <f>6DOCHODY!F831+6DOCHODY!F462</f>
        <v>12397324.379999999</v>
      </c>
      <c r="E31" s="322">
        <f t="shared" si="3"/>
        <v>57.14061491685467</v>
      </c>
      <c r="F31" s="53">
        <f>SUM(9W!D546,9W!D1036)</f>
        <v>26644055</v>
      </c>
      <c r="G31" s="53">
        <f>SUM(9W!E546,9W!E1036)</f>
        <v>14208069.41</v>
      </c>
      <c r="H31" s="54">
        <f t="shared" si="2"/>
        <v>53.32547695911902</v>
      </c>
    </row>
    <row r="32" spans="1:9" ht="27.75" customHeight="1">
      <c r="A32" s="233" t="s">
        <v>89</v>
      </c>
      <c r="B32" s="323" t="s">
        <v>230</v>
      </c>
      <c r="C32" s="53">
        <f>SUM(6DOCHODY!E490,6DOCHODY!E844)</f>
        <v>11996777</v>
      </c>
      <c r="D32" s="53">
        <f>SUM(6DOCHODY!F490,6DOCHODY!F844)</f>
        <v>5151843.59</v>
      </c>
      <c r="E32" s="322">
        <f t="shared" si="3"/>
        <v>42.94356384218862</v>
      </c>
      <c r="F32" s="53">
        <f>SUM(9W!D578,9W!D1049)</f>
        <v>26078068</v>
      </c>
      <c r="G32" s="53">
        <f>SUM(9W!E578,9W!E1049)</f>
        <v>7266346.67</v>
      </c>
      <c r="H32" s="54">
        <f t="shared" si="2"/>
        <v>27.863822849146647</v>
      </c>
      <c r="I32" s="100"/>
    </row>
    <row r="33" spans="1:9" ht="26.25" customHeight="1">
      <c r="A33" s="233" t="s">
        <v>115</v>
      </c>
      <c r="B33" s="323" t="s">
        <v>231</v>
      </c>
      <c r="C33" s="53">
        <f>6DOCHODY!E551</f>
        <v>0</v>
      </c>
      <c r="D33" s="53">
        <f>6DOCHODY!F551</f>
        <v>196.60999999999999</v>
      </c>
      <c r="E33" s="322" t="e">
        <f t="shared" si="3"/>
        <v>#DIV/0!</v>
      </c>
      <c r="F33" s="53">
        <f>SUM(9W!D634)</f>
        <v>7525975</v>
      </c>
      <c r="G33" s="53">
        <f>SUM(9W!E634)</f>
        <v>3621389.83</v>
      </c>
      <c r="H33" s="54">
        <f t="shared" si="2"/>
        <v>48.118547164985266</v>
      </c>
      <c r="I33" s="100"/>
    </row>
    <row r="34" spans="1:8" ht="19.5" customHeight="1" thickBot="1">
      <c r="A34" s="325" t="s">
        <v>116</v>
      </c>
      <c r="B34" s="326" t="s">
        <v>104</v>
      </c>
      <c r="C34" s="327">
        <f>SUM(6DOCHODY!E577)</f>
        <v>1103987</v>
      </c>
      <c r="D34" s="327">
        <f>SUM(6DOCHODY!F577)</f>
        <v>3223.05</v>
      </c>
      <c r="E34" s="328">
        <f t="shared" si="3"/>
        <v>0.29194637255692324</v>
      </c>
      <c r="F34" s="327">
        <f>SUM(9W!D669)</f>
        <v>15889785</v>
      </c>
      <c r="G34" s="327">
        <f>SUM(9W!E669)</f>
        <v>2386802.35</v>
      </c>
      <c r="H34" s="712">
        <f t="shared" si="2"/>
        <v>15.020985809436691</v>
      </c>
    </row>
    <row r="35" spans="1:8" ht="3" customHeight="1">
      <c r="A35" s="329"/>
      <c r="B35" s="330"/>
      <c r="C35" s="331"/>
      <c r="D35" s="331"/>
      <c r="E35" s="332"/>
      <c r="F35" s="331"/>
      <c r="G35" s="331"/>
      <c r="H35" s="713"/>
    </row>
    <row r="36" spans="1:8" s="102" customFormat="1" ht="21" customHeight="1" thickBot="1">
      <c r="A36" s="333"/>
      <c r="B36" s="334" t="s">
        <v>246</v>
      </c>
      <c r="C36" s="335">
        <f>SUM(C9:C34)</f>
        <v>317783602.74</v>
      </c>
      <c r="D36" s="335">
        <f>SUM(D9:D34)</f>
        <v>163014373.24000004</v>
      </c>
      <c r="E36" s="336">
        <f>D36*100/C36</f>
        <v>51.29728904652547</v>
      </c>
      <c r="F36" s="335">
        <f>SUM(F9:F34)</f>
        <v>367103930.74</v>
      </c>
      <c r="G36" s="335">
        <f>SUM(G9:G34)</f>
        <v>113504483.95</v>
      </c>
      <c r="H36" s="714">
        <f>G36*100/F36</f>
        <v>30.918896379344172</v>
      </c>
    </row>
    <row r="37" spans="1:10" s="308" customFormat="1" ht="42" customHeight="1" hidden="1">
      <c r="A37" s="304"/>
      <c r="B37" s="305" t="s">
        <v>80</v>
      </c>
      <c r="C37" s="306">
        <v>317783602.74</v>
      </c>
      <c r="D37" s="306">
        <v>163014373.24</v>
      </c>
      <c r="E37" s="307"/>
      <c r="F37" s="715">
        <v>367103930.74</v>
      </c>
      <c r="G37" s="715">
        <v>113504483.95</v>
      </c>
      <c r="H37" s="716">
        <f>G37/F37*100</f>
        <v>30.918896379344176</v>
      </c>
      <c r="I37" s="1452"/>
      <c r="J37" s="1452"/>
    </row>
    <row r="38" spans="1:8" s="308" customFormat="1" ht="12.75" hidden="1">
      <c r="A38" s="304"/>
      <c r="B38" s="305" t="s">
        <v>1046</v>
      </c>
      <c r="C38" s="307">
        <f>C36-C37</f>
        <v>0</v>
      </c>
      <c r="D38" s="307">
        <f>D36-D37</f>
        <v>0</v>
      </c>
      <c r="E38" s="337"/>
      <c r="F38" s="337">
        <f>F36-F37</f>
        <v>0</v>
      </c>
      <c r="G38" s="307">
        <f>G36-G37</f>
        <v>0</v>
      </c>
      <c r="H38" s="716"/>
    </row>
    <row r="39" spans="1:8" s="309" customFormat="1" ht="12.75">
      <c r="A39" s="338"/>
      <c r="B39" s="310"/>
      <c r="C39" s="339"/>
      <c r="D39" s="339"/>
      <c r="E39" s="340"/>
      <c r="F39" s="339"/>
      <c r="G39" s="339"/>
      <c r="H39" s="340"/>
    </row>
    <row r="40" spans="1:8" ht="12.75">
      <c r="A40" s="338"/>
      <c r="B40" s="310"/>
      <c r="C40" s="339"/>
      <c r="D40" s="339"/>
      <c r="E40" s="340"/>
      <c r="F40" s="339"/>
      <c r="G40" s="339"/>
      <c r="H40" s="340"/>
    </row>
    <row r="41" spans="1:8" ht="12.75">
      <c r="A41" s="338"/>
      <c r="B41" s="310"/>
      <c r="C41" s="339"/>
      <c r="D41" s="339"/>
      <c r="E41" s="340"/>
      <c r="F41" s="339"/>
      <c r="G41" s="339"/>
      <c r="H41" s="340"/>
    </row>
    <row r="42" spans="1:8" ht="12.75">
      <c r="A42" s="338"/>
      <c r="B42" s="310"/>
      <c r="C42" s="339"/>
      <c r="D42" s="339"/>
      <c r="E42" s="340"/>
      <c r="F42" s="339"/>
      <c r="G42" s="339"/>
      <c r="H42" s="340"/>
    </row>
    <row r="43" spans="1:8" ht="12.75">
      <c r="A43" s="338"/>
      <c r="B43" s="310"/>
      <c r="C43" s="339"/>
      <c r="D43" s="339"/>
      <c r="E43" s="340"/>
      <c r="F43" s="339"/>
      <c r="G43" s="339"/>
      <c r="H43" s="340"/>
    </row>
    <row r="44" spans="1:8" ht="12.75">
      <c r="A44" s="338"/>
      <c r="C44" s="339"/>
      <c r="D44" s="339"/>
      <c r="E44" s="340"/>
      <c r="F44" s="339"/>
      <c r="G44" s="339"/>
      <c r="H44" s="340"/>
    </row>
    <row r="45" spans="1:8" ht="12.75">
      <c r="A45" s="338"/>
      <c r="C45" s="339"/>
      <c r="D45" s="339"/>
      <c r="E45" s="340"/>
      <c r="F45" s="339"/>
      <c r="G45" s="339"/>
      <c r="H45" s="340"/>
    </row>
    <row r="46" spans="1:8" ht="12.75">
      <c r="A46" s="338"/>
      <c r="E46" s="340"/>
      <c r="F46" s="339"/>
      <c r="G46" s="339"/>
      <c r="H46" s="340"/>
    </row>
    <row r="47" spans="1:8" ht="12.75">
      <c r="A47" s="338"/>
      <c r="E47" s="340"/>
      <c r="F47" s="339"/>
      <c r="G47" s="339"/>
      <c r="H47" s="340"/>
    </row>
    <row r="48" spans="1:8" ht="12.75">
      <c r="A48" s="338"/>
      <c r="E48" s="340"/>
      <c r="F48" s="339"/>
      <c r="G48" s="339"/>
      <c r="H48" s="340"/>
    </row>
    <row r="49" spans="1:8" ht="12.75">
      <c r="A49" s="338"/>
      <c r="E49" s="340"/>
      <c r="F49" s="339"/>
      <c r="G49" s="339"/>
      <c r="H49" s="340"/>
    </row>
    <row r="50" spans="1:8" ht="12.75">
      <c r="A50" s="338"/>
      <c r="E50" s="340"/>
      <c r="F50" s="339"/>
      <c r="G50" s="339"/>
      <c r="H50" s="340"/>
    </row>
    <row r="51" spans="1:8" ht="12.75">
      <c r="A51" s="338"/>
      <c r="E51" s="340"/>
      <c r="F51" s="339"/>
      <c r="G51" s="339"/>
      <c r="H51" s="340"/>
    </row>
    <row r="52" spans="1:8" ht="12.75">
      <c r="A52" s="338"/>
      <c r="E52" s="340"/>
      <c r="F52" s="339"/>
      <c r="G52" s="339"/>
      <c r="H52" s="340"/>
    </row>
    <row r="53" spans="1:8" ht="12.75">
      <c r="A53" s="338"/>
      <c r="E53" s="340"/>
      <c r="F53" s="339"/>
      <c r="G53" s="339"/>
      <c r="H53" s="340"/>
    </row>
    <row r="54" spans="1:8" ht="12.75">
      <c r="A54" s="338"/>
      <c r="E54" s="340"/>
      <c r="F54" s="339"/>
      <c r="G54" s="339"/>
      <c r="H54" s="340"/>
    </row>
    <row r="55" spans="1:8" ht="12.75">
      <c r="A55" s="338"/>
      <c r="E55" s="340"/>
      <c r="F55" s="339"/>
      <c r="G55" s="339"/>
      <c r="H55" s="340"/>
    </row>
    <row r="56" spans="1:8" ht="12.75">
      <c r="A56" s="338"/>
      <c r="E56" s="340"/>
      <c r="F56" s="339"/>
      <c r="G56" s="339"/>
      <c r="H56" s="340"/>
    </row>
    <row r="57" spans="1:8" ht="12.75">
      <c r="A57" s="338"/>
      <c r="E57" s="340"/>
      <c r="F57" s="339"/>
      <c r="G57" s="339"/>
      <c r="H57" s="340"/>
    </row>
    <row r="58" spans="1:8" ht="12.75">
      <c r="A58" s="338"/>
      <c r="E58" s="340"/>
      <c r="F58" s="339"/>
      <c r="G58" s="339"/>
      <c r="H58" s="340"/>
    </row>
    <row r="59" spans="1:8" ht="12.75">
      <c r="A59" s="338"/>
      <c r="E59" s="340"/>
      <c r="F59" s="339"/>
      <c r="G59" s="339"/>
      <c r="H59" s="340"/>
    </row>
    <row r="60" spans="1:8" ht="12.75">
      <c r="A60" s="338"/>
      <c r="E60" s="340"/>
      <c r="F60" s="339"/>
      <c r="G60" s="339"/>
      <c r="H60" s="340"/>
    </row>
    <row r="61" spans="1:8" ht="12.75">
      <c r="A61" s="338"/>
      <c r="E61" s="340"/>
      <c r="F61" s="339"/>
      <c r="G61" s="339"/>
      <c r="H61" s="340"/>
    </row>
    <row r="62" spans="1:8" ht="12.75">
      <c r="A62" s="338"/>
      <c r="E62" s="340"/>
      <c r="F62" s="339"/>
      <c r="G62" s="339"/>
      <c r="H62" s="340"/>
    </row>
    <row r="63" spans="1:8" ht="12.75">
      <c r="A63" s="338"/>
      <c r="E63" s="340"/>
      <c r="F63" s="339"/>
      <c r="G63" s="339"/>
      <c r="H63" s="340"/>
    </row>
    <row r="64" spans="1:8" ht="12.75">
      <c r="A64" s="338"/>
      <c r="E64" s="340"/>
      <c r="F64" s="339"/>
      <c r="G64" s="339"/>
      <c r="H64" s="340"/>
    </row>
    <row r="65" spans="1:8" ht="12.75">
      <c r="A65" s="338"/>
      <c r="E65" s="340"/>
      <c r="F65" s="339"/>
      <c r="G65" s="339"/>
      <c r="H65" s="340"/>
    </row>
    <row r="66" spans="1:8" ht="12.75">
      <c r="A66" s="338"/>
      <c r="E66" s="340"/>
      <c r="F66" s="339"/>
      <c r="G66" s="339"/>
      <c r="H66" s="340"/>
    </row>
    <row r="67" spans="1:8" ht="12.75">
      <c r="A67" s="338"/>
      <c r="E67" s="340"/>
      <c r="F67" s="339"/>
      <c r="G67" s="339"/>
      <c r="H67" s="340"/>
    </row>
    <row r="68" spans="1:8" ht="12.75">
      <c r="A68" s="338"/>
      <c r="E68" s="340"/>
      <c r="F68" s="339"/>
      <c r="G68" s="339"/>
      <c r="H68" s="340"/>
    </row>
    <row r="69" spans="1:8" ht="12.75">
      <c r="A69" s="338"/>
      <c r="E69" s="340"/>
      <c r="F69" s="339"/>
      <c r="G69" s="339"/>
      <c r="H69" s="340"/>
    </row>
    <row r="70" spans="1:8" ht="12.75">
      <c r="A70" s="338"/>
      <c r="E70" s="340"/>
      <c r="F70" s="339"/>
      <c r="G70" s="339"/>
      <c r="H70" s="340"/>
    </row>
    <row r="71" spans="1:8" ht="12.75">
      <c r="A71" s="338"/>
      <c r="E71" s="340"/>
      <c r="F71" s="339"/>
      <c r="G71" s="339"/>
      <c r="H71" s="340"/>
    </row>
    <row r="72" spans="1:8" ht="12.75">
      <c r="A72" s="338"/>
      <c r="E72" s="340"/>
      <c r="F72" s="339"/>
      <c r="G72" s="339"/>
      <c r="H72" s="340"/>
    </row>
    <row r="73" spans="1:8" ht="12.75">
      <c r="A73" s="338"/>
      <c r="E73" s="340"/>
      <c r="F73" s="339"/>
      <c r="G73" s="339"/>
      <c r="H73" s="340"/>
    </row>
    <row r="74" spans="1:8" ht="12.75">
      <c r="A74" s="338"/>
      <c r="E74" s="340"/>
      <c r="F74" s="339"/>
      <c r="G74" s="339"/>
      <c r="H74" s="340"/>
    </row>
    <row r="75" spans="1:8" ht="12.75">
      <c r="A75" s="338"/>
      <c r="E75" s="340"/>
      <c r="F75" s="339"/>
      <c r="G75" s="339"/>
      <c r="H75" s="340"/>
    </row>
    <row r="76" spans="1:8" ht="12.75">
      <c r="A76" s="338"/>
      <c r="E76" s="340"/>
      <c r="F76" s="339"/>
      <c r="G76" s="339"/>
      <c r="H76" s="340"/>
    </row>
    <row r="77" spans="1:8" ht="12.75">
      <c r="A77" s="338"/>
      <c r="E77" s="340"/>
      <c r="F77" s="339"/>
      <c r="G77" s="339"/>
      <c r="H77" s="340"/>
    </row>
    <row r="78" spans="1:8" ht="12.75">
      <c r="A78" s="338"/>
      <c r="E78" s="340"/>
      <c r="F78" s="339"/>
      <c r="G78" s="339"/>
      <c r="H78" s="340"/>
    </row>
    <row r="79" spans="1:8" ht="12.75">
      <c r="A79" s="338"/>
      <c r="E79" s="340"/>
      <c r="F79" s="339"/>
      <c r="G79" s="339"/>
      <c r="H79" s="340"/>
    </row>
    <row r="80" spans="1:8" ht="12.75">
      <c r="A80" s="338"/>
      <c r="E80" s="340"/>
      <c r="F80" s="339"/>
      <c r="G80" s="339"/>
      <c r="H80" s="340"/>
    </row>
    <row r="81" spans="1:8" ht="12.75">
      <c r="A81" s="338"/>
      <c r="E81" s="340"/>
      <c r="H81" s="340"/>
    </row>
    <row r="82" spans="1:8" ht="12.75">
      <c r="A82" s="338"/>
      <c r="E82" s="340"/>
      <c r="H82" s="340"/>
    </row>
    <row r="83" spans="1:8" ht="12.75">
      <c r="A83" s="338"/>
      <c r="E83" s="340"/>
      <c r="H83" s="340"/>
    </row>
    <row r="84" spans="1:8" ht="12.75">
      <c r="A84" s="338"/>
      <c r="E84" s="340"/>
      <c r="H84" s="340"/>
    </row>
    <row r="85" spans="1:8" ht="12.75">
      <c r="A85" s="338"/>
      <c r="E85" s="340"/>
      <c r="H85" s="340"/>
    </row>
    <row r="86" spans="1:8" ht="12.75">
      <c r="A86" s="338"/>
      <c r="E86" s="340"/>
      <c r="H86" s="340"/>
    </row>
    <row r="87" spans="1:8" ht="12.75">
      <c r="A87" s="338"/>
      <c r="E87" s="340"/>
      <c r="H87" s="340"/>
    </row>
    <row r="88" spans="1:8" ht="12.75">
      <c r="A88" s="338"/>
      <c r="E88" s="340"/>
      <c r="H88" s="340"/>
    </row>
    <row r="89" spans="5:8" ht="12.75">
      <c r="E89" s="340"/>
      <c r="H89" s="340"/>
    </row>
    <row r="90" spans="5:8" ht="12.75">
      <c r="E90" s="340"/>
      <c r="H90" s="340"/>
    </row>
    <row r="91" spans="5:8" ht="12.75">
      <c r="E91" s="340"/>
      <c r="H91" s="340"/>
    </row>
    <row r="92" spans="5:8" ht="12.75">
      <c r="E92" s="340"/>
      <c r="H92" s="340"/>
    </row>
    <row r="93" spans="5:8" ht="12.75">
      <c r="E93" s="340"/>
      <c r="H93" s="340"/>
    </row>
    <row r="94" spans="5:8" ht="12.75">
      <c r="E94" s="340"/>
      <c r="H94" s="340"/>
    </row>
    <row r="95" spans="5:8" ht="12.75">
      <c r="E95" s="340"/>
      <c r="H95" s="340"/>
    </row>
    <row r="96" spans="5:8" ht="12.75">
      <c r="E96" s="340"/>
      <c r="H96" s="340"/>
    </row>
    <row r="97" spans="5:8" ht="12.75">
      <c r="E97" s="340"/>
      <c r="H97" s="340"/>
    </row>
    <row r="98" spans="5:8" ht="12.75">
      <c r="E98" s="340"/>
      <c r="H98" s="340"/>
    </row>
    <row r="99" spans="5:8" ht="12.75">
      <c r="E99" s="340"/>
      <c r="H99" s="340"/>
    </row>
    <row r="100" spans="5:8" ht="12.75">
      <c r="E100" s="340"/>
      <c r="H100" s="340"/>
    </row>
    <row r="101" spans="5:8" ht="12.75">
      <c r="E101" s="340"/>
      <c r="H101" s="340"/>
    </row>
    <row r="102" spans="5:8" ht="12.75">
      <c r="E102" s="340"/>
      <c r="H102" s="340"/>
    </row>
    <row r="103" spans="5:8" ht="12.75">
      <c r="E103" s="340"/>
      <c r="H103" s="340"/>
    </row>
    <row r="104" spans="5:8" ht="12.75">
      <c r="E104" s="340"/>
      <c r="H104" s="340"/>
    </row>
    <row r="105" spans="5:8" ht="12.75">
      <c r="E105" s="340"/>
      <c r="H105" s="340"/>
    </row>
    <row r="106" spans="5:8" ht="12.75">
      <c r="E106" s="340"/>
      <c r="H106" s="340"/>
    </row>
    <row r="107" spans="5:8" ht="12.75">
      <c r="E107" s="340"/>
      <c r="H107" s="340"/>
    </row>
    <row r="108" spans="5:8" ht="12.75">
      <c r="E108" s="340"/>
      <c r="H108" s="340"/>
    </row>
    <row r="109" spans="5:8" ht="12.75">
      <c r="E109" s="340"/>
      <c r="H109" s="340"/>
    </row>
    <row r="110" spans="5:8" ht="12.75">
      <c r="E110" s="340"/>
      <c r="H110" s="340"/>
    </row>
    <row r="111" spans="5:8" ht="12.75">
      <c r="E111" s="340"/>
      <c r="H111" s="340"/>
    </row>
    <row r="112" spans="5:8" ht="12.75">
      <c r="E112" s="340"/>
      <c r="H112" s="340"/>
    </row>
    <row r="113" spans="5:8" ht="12.75">
      <c r="E113" s="340"/>
      <c r="H113" s="340"/>
    </row>
    <row r="114" spans="5:8" ht="12.75">
      <c r="E114" s="340"/>
      <c r="H114" s="340"/>
    </row>
    <row r="115" spans="5:8" ht="12.75">
      <c r="E115" s="340"/>
      <c r="H115" s="340"/>
    </row>
    <row r="116" spans="5:8" ht="12.75">
      <c r="E116" s="340"/>
      <c r="H116" s="340"/>
    </row>
    <row r="117" spans="5:8" ht="12.75">
      <c r="E117" s="340"/>
      <c r="H117" s="340"/>
    </row>
    <row r="118" spans="5:8" ht="12.75">
      <c r="E118" s="340"/>
      <c r="H118" s="340"/>
    </row>
    <row r="119" spans="5:8" ht="12.75">
      <c r="E119" s="340"/>
      <c r="H119" s="340"/>
    </row>
    <row r="120" spans="5:8" ht="12.75">
      <c r="E120" s="340"/>
      <c r="H120" s="340"/>
    </row>
    <row r="121" spans="5:8" ht="12.75">
      <c r="E121" s="340"/>
      <c r="H121" s="340"/>
    </row>
    <row r="122" spans="5:8" ht="12.75">
      <c r="E122" s="340"/>
      <c r="H122" s="340"/>
    </row>
    <row r="123" spans="5:8" ht="12.75">
      <c r="E123" s="340"/>
      <c r="H123" s="340"/>
    </row>
    <row r="124" spans="5:8" ht="12.75">
      <c r="E124" s="340"/>
      <c r="H124" s="340"/>
    </row>
    <row r="125" spans="5:8" ht="12.75">
      <c r="E125" s="340"/>
      <c r="H125" s="340"/>
    </row>
    <row r="126" spans="5:8" ht="12.75">
      <c r="E126" s="340"/>
      <c r="H126" s="340"/>
    </row>
    <row r="127" spans="5:8" ht="12.75">
      <c r="E127" s="340"/>
      <c r="H127" s="340"/>
    </row>
    <row r="128" spans="5:8" ht="12.75">
      <c r="E128" s="340"/>
      <c r="H128" s="340"/>
    </row>
    <row r="129" spans="5:8" ht="12.75">
      <c r="E129" s="340"/>
      <c r="H129" s="340"/>
    </row>
    <row r="130" spans="5:8" ht="12.75">
      <c r="E130" s="340"/>
      <c r="H130" s="340"/>
    </row>
    <row r="131" spans="5:8" ht="12.75">
      <c r="E131" s="340"/>
      <c r="H131" s="340"/>
    </row>
    <row r="132" spans="5:8" ht="12.75">
      <c r="E132" s="340"/>
      <c r="H132" s="340"/>
    </row>
    <row r="133" spans="5:8" ht="12.75">
      <c r="E133" s="340"/>
      <c r="H133" s="340"/>
    </row>
    <row r="134" spans="5:8" ht="12.75">
      <c r="E134" s="340"/>
      <c r="H134" s="340"/>
    </row>
    <row r="135" spans="5:8" ht="12.75">
      <c r="E135" s="340"/>
      <c r="H135" s="340"/>
    </row>
    <row r="136" spans="5:8" ht="12.75">
      <c r="E136" s="340"/>
      <c r="H136" s="340"/>
    </row>
    <row r="137" spans="5:8" ht="12.75">
      <c r="E137" s="340"/>
      <c r="H137" s="340"/>
    </row>
    <row r="138" spans="5:8" ht="12.75">
      <c r="E138" s="340"/>
      <c r="H138" s="340"/>
    </row>
    <row r="139" spans="5:8" ht="12.75">
      <c r="E139" s="340"/>
      <c r="H139" s="340"/>
    </row>
    <row r="140" spans="5:8" ht="12.75">
      <c r="E140" s="340"/>
      <c r="H140" s="340"/>
    </row>
    <row r="141" spans="5:8" ht="12.75">
      <c r="E141" s="340"/>
      <c r="H141" s="340"/>
    </row>
    <row r="142" spans="5:8" ht="12.75">
      <c r="E142" s="340"/>
      <c r="H142" s="340"/>
    </row>
    <row r="143" spans="5:8" ht="12.75">
      <c r="E143" s="340"/>
      <c r="H143" s="340"/>
    </row>
    <row r="144" spans="5:8" ht="12.75">
      <c r="E144" s="340"/>
      <c r="H144" s="340"/>
    </row>
    <row r="145" spans="5:8" ht="12.75">
      <c r="E145" s="340"/>
      <c r="H145" s="340"/>
    </row>
    <row r="146" spans="5:8" ht="12.75">
      <c r="E146" s="340"/>
      <c r="H146" s="340"/>
    </row>
    <row r="147" spans="5:8" ht="12.75">
      <c r="E147" s="340"/>
      <c r="H147" s="340"/>
    </row>
    <row r="148" spans="5:8" ht="12.75">
      <c r="E148" s="340"/>
      <c r="H148" s="340"/>
    </row>
    <row r="149" spans="5:8" ht="12.75">
      <c r="E149" s="340"/>
      <c r="H149" s="340"/>
    </row>
    <row r="150" spans="5:8" ht="12.75">
      <c r="E150" s="340"/>
      <c r="H150" s="340"/>
    </row>
    <row r="151" spans="5:8" ht="12.75">
      <c r="E151" s="340"/>
      <c r="H151" s="340"/>
    </row>
    <row r="152" spans="5:8" ht="12.75">
      <c r="E152" s="340"/>
      <c r="H152" s="340"/>
    </row>
    <row r="153" spans="5:8" ht="12.75">
      <c r="E153" s="340"/>
      <c r="H153" s="340"/>
    </row>
    <row r="154" spans="5:8" ht="12.75">
      <c r="E154" s="340"/>
      <c r="H154" s="340"/>
    </row>
    <row r="155" spans="5:8" ht="12.75">
      <c r="E155" s="340"/>
      <c r="H155" s="340"/>
    </row>
    <row r="156" spans="5:8" ht="12.75">
      <c r="E156" s="340"/>
      <c r="H156" s="340"/>
    </row>
    <row r="157" spans="5:8" ht="12.75">
      <c r="E157" s="340"/>
      <c r="H157" s="340"/>
    </row>
    <row r="158" spans="5:8" ht="12.75">
      <c r="E158" s="340"/>
      <c r="H158" s="340"/>
    </row>
    <row r="159" spans="5:8" ht="12.75">
      <c r="E159" s="340"/>
      <c r="H159" s="340"/>
    </row>
    <row r="160" spans="5:8" ht="12.75">
      <c r="E160" s="340"/>
      <c r="H160" s="340"/>
    </row>
    <row r="161" spans="5:8" ht="12.75">
      <c r="E161" s="340"/>
      <c r="H161" s="340"/>
    </row>
    <row r="162" spans="5:8" ht="12.75">
      <c r="E162" s="340"/>
      <c r="H162" s="340"/>
    </row>
    <row r="163" spans="5:8" ht="12.75">
      <c r="E163" s="340"/>
      <c r="H163" s="340"/>
    </row>
    <row r="164" spans="5:8" ht="12.75">
      <c r="E164" s="340"/>
      <c r="H164" s="340"/>
    </row>
    <row r="165" spans="5:8" ht="12.75">
      <c r="E165" s="340"/>
      <c r="H165" s="340"/>
    </row>
    <row r="166" spans="5:8" ht="12.75">
      <c r="E166" s="340"/>
      <c r="H166" s="340"/>
    </row>
    <row r="167" spans="5:8" ht="12.75">
      <c r="E167" s="340"/>
      <c r="H167" s="340"/>
    </row>
    <row r="168" spans="5:8" ht="12.75">
      <c r="E168" s="340"/>
      <c r="H168" s="340"/>
    </row>
    <row r="169" spans="5:8" ht="12.75">
      <c r="E169" s="340"/>
      <c r="H169" s="340"/>
    </row>
    <row r="170" spans="5:8" ht="12.75">
      <c r="E170" s="340"/>
      <c r="H170" s="340"/>
    </row>
    <row r="171" spans="5:8" ht="12.75">
      <c r="E171" s="340"/>
      <c r="H171" s="340"/>
    </row>
    <row r="172" spans="5:8" ht="12.75">
      <c r="E172" s="340"/>
      <c r="H172" s="340"/>
    </row>
    <row r="173" spans="5:8" ht="12.75">
      <c r="E173" s="340"/>
      <c r="H173" s="340"/>
    </row>
    <row r="174" spans="5:8" ht="12.75">
      <c r="E174" s="340"/>
      <c r="H174" s="340"/>
    </row>
    <row r="175" spans="5:8" ht="12.75">
      <c r="E175" s="340"/>
      <c r="H175" s="340"/>
    </row>
    <row r="176" spans="5:8" ht="12.75">
      <c r="E176" s="340"/>
      <c r="H176" s="340"/>
    </row>
    <row r="177" spans="5:8" ht="12.75">
      <c r="E177" s="340"/>
      <c r="H177" s="340"/>
    </row>
    <row r="178" spans="5:8" ht="12.75">
      <c r="E178" s="340"/>
      <c r="H178" s="340"/>
    </row>
    <row r="179" spans="5:8" ht="12.75">
      <c r="E179" s="340"/>
      <c r="H179" s="340"/>
    </row>
    <row r="180" spans="5:8" ht="12.75">
      <c r="E180" s="340"/>
      <c r="H180" s="340"/>
    </row>
    <row r="181" spans="5:8" ht="12.75">
      <c r="E181" s="340"/>
      <c r="H181" s="340"/>
    </row>
    <row r="182" spans="5:8" ht="12.75">
      <c r="E182" s="340"/>
      <c r="H182" s="340"/>
    </row>
    <row r="183" spans="5:8" ht="12.75">
      <c r="E183" s="340"/>
      <c r="H183" s="340"/>
    </row>
    <row r="184" spans="5:8" ht="12.75">
      <c r="E184" s="340"/>
      <c r="H184" s="340"/>
    </row>
    <row r="185" spans="5:8" ht="12.75">
      <c r="E185" s="340"/>
      <c r="H185" s="340"/>
    </row>
    <row r="186" spans="5:8" ht="12.75">
      <c r="E186" s="340"/>
      <c r="H186" s="340"/>
    </row>
    <row r="187" spans="5:8" ht="12.75">
      <c r="E187" s="340"/>
      <c r="H187" s="340"/>
    </row>
    <row r="188" spans="5:8" ht="12.75">
      <c r="E188" s="340"/>
      <c r="H188" s="340"/>
    </row>
    <row r="189" spans="5:8" ht="12.75">
      <c r="E189" s="340"/>
      <c r="H189" s="340"/>
    </row>
    <row r="190" spans="5:8" ht="12.75">
      <c r="E190" s="340"/>
      <c r="H190" s="340"/>
    </row>
    <row r="191" spans="5:8" ht="12.75">
      <c r="E191" s="340"/>
      <c r="H191" s="340"/>
    </row>
    <row r="192" spans="5:8" ht="12.75">
      <c r="E192" s="340"/>
      <c r="H192" s="340"/>
    </row>
    <row r="193" spans="5:8" ht="12.75">
      <c r="E193" s="340"/>
      <c r="H193" s="340"/>
    </row>
    <row r="194" spans="5:8" ht="12.75">
      <c r="E194" s="340"/>
      <c r="H194" s="340"/>
    </row>
    <row r="195" spans="5:8" ht="12.75">
      <c r="E195" s="340"/>
      <c r="H195" s="340"/>
    </row>
    <row r="196" spans="5:8" ht="12.75">
      <c r="E196" s="340"/>
      <c r="H196" s="340"/>
    </row>
    <row r="197" spans="5:8" ht="12.75">
      <c r="E197" s="340"/>
      <c r="H197" s="340"/>
    </row>
    <row r="198" spans="5:8" ht="12.75">
      <c r="E198" s="340"/>
      <c r="H198" s="340"/>
    </row>
    <row r="199" ht="12.75">
      <c r="H199" s="340"/>
    </row>
  </sheetData>
  <sheetProtection password="CF53" sheet="1" formatCells="0" formatColumns="0" formatRows="0" insertColumns="0" insertRows="0" insertHyperlinks="0" deleteColumns="0" deleteRows="0" sort="0" autoFilter="0" pivotTables="0"/>
  <mergeCells count="7">
    <mergeCell ref="I37:J37"/>
    <mergeCell ref="G1:H1"/>
    <mergeCell ref="A5:A6"/>
    <mergeCell ref="B5:B6"/>
    <mergeCell ref="C5:E5"/>
    <mergeCell ref="F5:H5"/>
    <mergeCell ref="A3:H3"/>
  </mergeCells>
  <printOptions/>
  <pageMargins left="0.3937007874015748" right="0.3937007874015748" top="0.7874015748031497" bottom="0.7874015748031497" header="0.5118110236220472" footer="0.5118110236220472"/>
  <pageSetup errors="blank" firstPageNumber="10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25"/>
  <sheetViews>
    <sheetView showGridLines="0" view="pageBreakPreview" zoomScale="160" zoomScaleSheetLayoutView="160" zoomScalePageLayoutView="0" workbookViewId="0" topLeftCell="A3">
      <selection activeCell="I11" sqref="I11"/>
    </sheetView>
  </sheetViews>
  <sheetFormatPr defaultColWidth="9.00390625" defaultRowHeight="12.75"/>
  <cols>
    <col min="1" max="1" width="4.75390625" style="103" bestFit="1" customWidth="1"/>
    <col min="2" max="2" width="40.625" style="82" customWidth="1"/>
    <col min="3" max="3" width="10.625" style="82" customWidth="1"/>
    <col min="4" max="4" width="12.625" style="97" customWidth="1"/>
    <col min="5" max="5" width="12.125" style="97" customWidth="1"/>
    <col min="6" max="6" width="6.375" style="97" customWidth="1"/>
    <col min="7" max="7" width="12.00390625" style="82" hidden="1" customWidth="1"/>
    <col min="8" max="16384" width="9.125" style="82" customWidth="1"/>
  </cols>
  <sheetData>
    <row r="1" spans="1:6" s="2" customFormat="1" ht="12.75">
      <c r="A1" s="247"/>
      <c r="D1" s="248"/>
      <c r="E1" s="1464" t="s">
        <v>470</v>
      </c>
      <c r="F1" s="1464"/>
    </row>
    <row r="2" spans="1:6" s="2" customFormat="1" ht="23.25" customHeight="1">
      <c r="A2" s="247"/>
      <c r="D2" s="248"/>
      <c r="E2" s="249"/>
      <c r="F2" s="249"/>
    </row>
    <row r="3" spans="1:6" s="2" customFormat="1" ht="12" customHeight="1">
      <c r="A3" s="1443" t="s">
        <v>225</v>
      </c>
      <c r="B3" s="1443"/>
      <c r="C3" s="1443"/>
      <c r="D3" s="1443"/>
      <c r="E3" s="1443"/>
      <c r="F3" s="1443"/>
    </row>
    <row r="4" spans="1:6" s="2" customFormat="1" ht="4.5" customHeight="1">
      <c r="A4" s="1"/>
      <c r="B4" s="1"/>
      <c r="C4" s="1"/>
      <c r="D4" s="246"/>
      <c r="E4" s="246"/>
      <c r="F4" s="246"/>
    </row>
    <row r="5" spans="1:6" s="2" customFormat="1" ht="12" customHeight="1" thickBot="1">
      <c r="A5" s="247"/>
      <c r="D5" s="248"/>
      <c r="E5" s="248"/>
      <c r="F5" s="248" t="s">
        <v>169</v>
      </c>
    </row>
    <row r="6" spans="1:6" s="2" customFormat="1" ht="31.5" customHeight="1">
      <c r="A6" s="250" t="s">
        <v>823</v>
      </c>
      <c r="B6" s="6" t="s">
        <v>171</v>
      </c>
      <c r="C6" s="251" t="s">
        <v>111</v>
      </c>
      <c r="D6" s="251" t="s">
        <v>172</v>
      </c>
      <c r="E6" s="6" t="s">
        <v>173</v>
      </c>
      <c r="F6" s="252" t="s">
        <v>174</v>
      </c>
    </row>
    <row r="7" spans="1:6" s="255" customFormat="1" ht="12" customHeight="1" thickBot="1">
      <c r="A7" s="253">
        <v>1</v>
      </c>
      <c r="B7" s="4">
        <v>2</v>
      </c>
      <c r="C7" s="4">
        <v>3</v>
      </c>
      <c r="D7" s="4">
        <v>4</v>
      </c>
      <c r="E7" s="4">
        <v>5</v>
      </c>
      <c r="F7" s="254">
        <v>6</v>
      </c>
    </row>
    <row r="8" spans="1:6" s="2" customFormat="1" ht="24.75" customHeight="1">
      <c r="A8" s="256" t="s">
        <v>560</v>
      </c>
      <c r="B8" s="1462" t="s">
        <v>212</v>
      </c>
      <c r="C8" s="1463"/>
      <c r="D8" s="164">
        <f>SUM(D9,D10,D11,D12,D13)</f>
        <v>68824699</v>
      </c>
      <c r="E8" s="164">
        <f>SUM(E9,E10,E11,E12,E13)</f>
        <v>68824699.23</v>
      </c>
      <c r="F8" s="257">
        <f aca="true" t="shared" si="0" ref="F8:F19">E8/D8*100</f>
        <v>100.00000033418237</v>
      </c>
    </row>
    <row r="9" spans="1:7" s="2" customFormat="1" ht="33.75" customHeight="1" hidden="1">
      <c r="A9" s="258" t="s">
        <v>826</v>
      </c>
      <c r="B9" s="259" t="s">
        <v>419</v>
      </c>
      <c r="C9" s="260" t="s">
        <v>418</v>
      </c>
      <c r="D9" s="261">
        <v>0</v>
      </c>
      <c r="E9" s="261">
        <v>0</v>
      </c>
      <c r="F9" s="262" t="e">
        <f t="shared" si="0"/>
        <v>#DIV/0!</v>
      </c>
      <c r="G9" s="263">
        <f aca="true" t="shared" si="1" ref="G9:G18">E9-D9</f>
        <v>0</v>
      </c>
    </row>
    <row r="10" spans="1:7" s="2" customFormat="1" ht="50.25" customHeight="1" hidden="1">
      <c r="A10" s="258" t="s">
        <v>827</v>
      </c>
      <c r="B10" s="259" t="s">
        <v>718</v>
      </c>
      <c r="C10" s="260" t="s">
        <v>717</v>
      </c>
      <c r="D10" s="261">
        <v>0</v>
      </c>
      <c r="E10" s="261">
        <v>0</v>
      </c>
      <c r="F10" s="262">
        <v>0</v>
      </c>
      <c r="G10" s="263">
        <f t="shared" si="1"/>
        <v>0</v>
      </c>
    </row>
    <row r="11" spans="1:7" s="2" customFormat="1" ht="34.5" customHeight="1" thickBot="1">
      <c r="A11" s="258" t="s">
        <v>826</v>
      </c>
      <c r="B11" s="264" t="s">
        <v>545</v>
      </c>
      <c r="C11" s="265" t="s">
        <v>544</v>
      </c>
      <c r="D11" s="266">
        <v>68824699</v>
      </c>
      <c r="E11" s="267">
        <v>68824699.23</v>
      </c>
      <c r="F11" s="268">
        <f t="shared" si="0"/>
        <v>100.00000033418237</v>
      </c>
      <c r="G11" s="263">
        <f t="shared" si="1"/>
        <v>0.23000000417232513</v>
      </c>
    </row>
    <row r="12" spans="1:7" ht="34.5" customHeight="1" hidden="1" thickBot="1">
      <c r="A12" s="107" t="s">
        <v>827</v>
      </c>
      <c r="B12" s="108" t="s">
        <v>719</v>
      </c>
      <c r="C12" s="105" t="s">
        <v>720</v>
      </c>
      <c r="D12" s="109">
        <v>0</v>
      </c>
      <c r="E12" s="109">
        <v>0</v>
      </c>
      <c r="F12" s="106" t="e">
        <f t="shared" si="0"/>
        <v>#DIV/0!</v>
      </c>
      <c r="G12" s="91"/>
    </row>
    <row r="13" spans="1:7" ht="34.5" customHeight="1" hidden="1" thickBot="1">
      <c r="A13" s="107" t="s">
        <v>950</v>
      </c>
      <c r="B13" s="108" t="s">
        <v>855</v>
      </c>
      <c r="C13" s="110" t="s">
        <v>856</v>
      </c>
      <c r="D13" s="109">
        <v>0</v>
      </c>
      <c r="E13" s="109">
        <v>0</v>
      </c>
      <c r="F13" s="106" t="s">
        <v>799</v>
      </c>
      <c r="G13" s="91"/>
    </row>
    <row r="14" spans="1:7" s="2" customFormat="1" ht="24.75" customHeight="1">
      <c r="A14" s="256" t="s">
        <v>561</v>
      </c>
      <c r="B14" s="1462" t="s">
        <v>213</v>
      </c>
      <c r="C14" s="1463"/>
      <c r="D14" s="164">
        <f>SUM(D16,D17,D19)</f>
        <v>19504371</v>
      </c>
      <c r="E14" s="164">
        <f>SUM(E16,E17,E19)</f>
        <v>1762778.4</v>
      </c>
      <c r="F14" s="257">
        <f t="shared" si="0"/>
        <v>9.037863358936312</v>
      </c>
      <c r="G14" s="263">
        <f t="shared" si="1"/>
        <v>-17741592.6</v>
      </c>
    </row>
    <row r="15" spans="1:7" s="2" customFormat="1" ht="54.75" customHeight="1" hidden="1">
      <c r="A15" s="269" t="s">
        <v>826</v>
      </c>
      <c r="B15" s="264" t="s">
        <v>279</v>
      </c>
      <c r="C15" s="265" t="s">
        <v>278</v>
      </c>
      <c r="D15" s="266"/>
      <c r="E15" s="266"/>
      <c r="F15" s="268" t="e">
        <f t="shared" si="0"/>
        <v>#DIV/0!</v>
      </c>
      <c r="G15" s="263">
        <f t="shared" si="1"/>
        <v>0</v>
      </c>
    </row>
    <row r="16" spans="1:7" s="2" customFormat="1" ht="33" customHeight="1">
      <c r="A16" s="269" t="s">
        <v>826</v>
      </c>
      <c r="B16" s="264" t="s">
        <v>492</v>
      </c>
      <c r="C16" s="265" t="s">
        <v>113</v>
      </c>
      <c r="D16" s="266">
        <v>16000000</v>
      </c>
      <c r="E16" s="266">
        <v>0</v>
      </c>
      <c r="F16" s="268">
        <f t="shared" si="0"/>
        <v>0</v>
      </c>
      <c r="G16" s="263">
        <f t="shared" si="1"/>
        <v>-16000000</v>
      </c>
    </row>
    <row r="17" spans="1:7" s="2" customFormat="1" ht="30.75" customHeight="1">
      <c r="A17" s="269" t="s">
        <v>827</v>
      </c>
      <c r="B17" s="264" t="s">
        <v>1446</v>
      </c>
      <c r="C17" s="265" t="s">
        <v>112</v>
      </c>
      <c r="D17" s="266">
        <f>SUM(D18)</f>
        <v>3434371</v>
      </c>
      <c r="E17" s="266">
        <f>SUM(E18)</f>
        <v>1762778.4</v>
      </c>
      <c r="F17" s="268">
        <f t="shared" si="0"/>
        <v>51.327547315068756</v>
      </c>
      <c r="G17" s="263">
        <f t="shared" si="1"/>
        <v>-1671592.6</v>
      </c>
    </row>
    <row r="18" spans="1:7" s="275" customFormat="1" ht="19.5" customHeight="1">
      <c r="A18" s="270" t="s">
        <v>481</v>
      </c>
      <c r="B18" s="271" t="s">
        <v>79</v>
      </c>
      <c r="C18" s="272" t="s">
        <v>112</v>
      </c>
      <c r="D18" s="273">
        <v>3434371</v>
      </c>
      <c r="E18" s="273">
        <v>1762778.4</v>
      </c>
      <c r="F18" s="274">
        <f t="shared" si="0"/>
        <v>51.327547315068756</v>
      </c>
      <c r="G18" s="263">
        <f t="shared" si="1"/>
        <v>-1671592.6</v>
      </c>
    </row>
    <row r="19" spans="1:7" s="2" customFormat="1" ht="40.5" customHeight="1" thickBot="1">
      <c r="A19" s="276" t="s">
        <v>942</v>
      </c>
      <c r="B19" s="277" t="s">
        <v>1597</v>
      </c>
      <c r="C19" s="278" t="s">
        <v>1374</v>
      </c>
      <c r="D19" s="279">
        <v>70000</v>
      </c>
      <c r="E19" s="279">
        <v>0</v>
      </c>
      <c r="F19" s="280">
        <f t="shared" si="0"/>
        <v>0</v>
      </c>
      <c r="G19" s="263"/>
    </row>
    <row r="21" spans="1:6" s="91" customFormat="1" ht="12.75" hidden="1">
      <c r="A21" s="112"/>
      <c r="B21" s="91" t="s">
        <v>659</v>
      </c>
      <c r="D21" s="113">
        <v>2952624</v>
      </c>
      <c r="E21" s="113">
        <v>2916824.37</v>
      </c>
      <c r="F21" s="113"/>
    </row>
    <row r="22" spans="1:6" s="85" customFormat="1" ht="12.75" hidden="1">
      <c r="A22" s="114"/>
      <c r="B22" s="85" t="s">
        <v>931</v>
      </c>
      <c r="D22" s="115">
        <f>D8-D21</f>
        <v>65872075</v>
      </c>
      <c r="E22" s="115">
        <f>E8-E21</f>
        <v>65907874.86000001</v>
      </c>
      <c r="F22" s="115"/>
    </row>
    <row r="23" spans="1:6" s="91" customFormat="1" ht="12.75" hidden="1">
      <c r="A23" s="112"/>
      <c r="D23" s="113"/>
      <c r="E23" s="113"/>
      <c r="F23" s="113"/>
    </row>
    <row r="24" spans="1:6" s="91" customFormat="1" ht="12.75" hidden="1">
      <c r="A24" s="112"/>
      <c r="B24" s="91" t="s">
        <v>260</v>
      </c>
      <c r="D24" s="113">
        <v>18282778</v>
      </c>
      <c r="E24" s="113">
        <v>1675185.6</v>
      </c>
      <c r="F24" s="113"/>
    </row>
    <row r="25" spans="1:6" s="85" customFormat="1" ht="12.75" hidden="1">
      <c r="A25" s="114"/>
      <c r="B25" s="85" t="s">
        <v>931</v>
      </c>
      <c r="D25" s="115">
        <f>D14-D24</f>
        <v>1221593</v>
      </c>
      <c r="E25" s="115">
        <f>E14-E24</f>
        <v>87592.79999999981</v>
      </c>
      <c r="F25" s="115"/>
    </row>
  </sheetData>
  <sheetProtection password="CF53" sheet="1" formatCells="0" formatColumns="0" formatRows="0" insertColumns="0" insertRows="0" insertHyperlinks="0" deleteColumns="0" deleteRows="0" sort="0" autoFilter="0" pivotTables="0"/>
  <mergeCells count="4">
    <mergeCell ref="A3:F3"/>
    <mergeCell ref="B8:C8"/>
    <mergeCell ref="E1:F1"/>
    <mergeCell ref="B14:C14"/>
  </mergeCells>
  <printOptions horizontalCentered="1"/>
  <pageMargins left="0.7874015748031497" right="0.7874015748031497" top="0.984251968503937" bottom="0.984251968503937" header="0.5118110236220472" footer="0.5118110236220472"/>
  <pageSetup firstPageNumber="11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005"/>
  <sheetViews>
    <sheetView view="pageBreakPreview" zoomScale="140" zoomScaleSheetLayoutView="140" zoomScalePageLayoutView="0" workbookViewId="0" topLeftCell="A1">
      <pane ySplit="6" topLeftCell="A849" activePane="bottomLeft" state="frozen"/>
      <selection pane="topLeft" activeCell="A1" sqref="A1"/>
      <selection pane="bottomLeft" activeCell="A1" sqref="A1:IV16384"/>
    </sheetView>
  </sheetViews>
  <sheetFormatPr defaultColWidth="9.00390625" defaultRowHeight="12.75"/>
  <cols>
    <col min="1" max="1" width="5.625" style="301" customWidth="1"/>
    <col min="2" max="2" width="6.375" style="301" customWidth="1"/>
    <col min="3" max="3" width="5.125" style="301" customWidth="1"/>
    <col min="4" max="4" width="40.25390625" style="302" customWidth="1"/>
    <col min="5" max="5" width="13.875" style="49" customWidth="1"/>
    <col min="6" max="6" width="13.625" style="49" customWidth="1"/>
    <col min="7" max="7" width="6.375" style="297" customWidth="1"/>
    <col min="8" max="8" width="9.125" style="154" customWidth="1"/>
    <col min="9" max="9" width="29.875" style="49" customWidth="1"/>
    <col min="10" max="16384" width="9.125" style="49" customWidth="1"/>
  </cols>
  <sheetData>
    <row r="1" spans="1:8" s="2" customFormat="1" ht="15.75">
      <c r="A1" s="7"/>
      <c r="B1" s="7"/>
      <c r="C1" s="7"/>
      <c r="D1" s="8"/>
      <c r="E1" s="8"/>
      <c r="F1" s="1439" t="s">
        <v>624</v>
      </c>
      <c r="G1" s="1439"/>
      <c r="H1" s="1373"/>
    </row>
    <row r="2" spans="1:8" s="2" customFormat="1" ht="17.25" customHeight="1">
      <c r="A2" s="7"/>
      <c r="B2" s="7"/>
      <c r="C2" s="7"/>
      <c r="E2" s="8"/>
      <c r="G2" s="9"/>
      <c r="H2" s="1373"/>
    </row>
    <row r="3" spans="1:8" s="3" customFormat="1" ht="16.5" customHeight="1">
      <c r="A3" s="1440" t="s">
        <v>785</v>
      </c>
      <c r="B3" s="1440"/>
      <c r="C3" s="1440"/>
      <c r="D3" s="1440"/>
      <c r="E3" s="1440"/>
      <c r="F3" s="1440"/>
      <c r="G3" s="1440"/>
      <c r="H3" s="1373"/>
    </row>
    <row r="4" spans="1:8" s="2" customFormat="1" ht="16.5" thickBot="1">
      <c r="A4" s="7"/>
      <c r="B4" s="7"/>
      <c r="C4" s="7"/>
      <c r="D4" s="8"/>
      <c r="G4" s="9" t="s">
        <v>169</v>
      </c>
      <c r="H4" s="1373"/>
    </row>
    <row r="5" spans="1:8" s="1" customFormat="1" ht="15" customHeight="1">
      <c r="A5" s="10" t="s">
        <v>122</v>
      </c>
      <c r="B5" s="11" t="s">
        <v>170</v>
      </c>
      <c r="C5" s="11" t="s">
        <v>127</v>
      </c>
      <c r="D5" s="11" t="s">
        <v>171</v>
      </c>
      <c r="E5" s="12" t="s">
        <v>172</v>
      </c>
      <c r="F5" s="6" t="s">
        <v>173</v>
      </c>
      <c r="G5" s="13" t="s">
        <v>174</v>
      </c>
      <c r="H5" s="1373"/>
    </row>
    <row r="6" spans="1:8" s="17" customFormat="1" ht="13.5" customHeight="1" thickBot="1">
      <c r="A6" s="14">
        <v>1</v>
      </c>
      <c r="B6" s="15">
        <v>2</v>
      </c>
      <c r="C6" s="15">
        <v>3</v>
      </c>
      <c r="D6" s="15">
        <v>4</v>
      </c>
      <c r="E6" s="5">
        <v>5</v>
      </c>
      <c r="F6" s="4">
        <v>6</v>
      </c>
      <c r="G6" s="16">
        <v>7</v>
      </c>
      <c r="H6" s="1373"/>
    </row>
    <row r="7" spans="1:8" s="167" customFormat="1" ht="22.5" customHeight="1">
      <c r="A7" s="1465" t="s">
        <v>768</v>
      </c>
      <c r="B7" s="1466"/>
      <c r="C7" s="1466"/>
      <c r="D7" s="1467"/>
      <c r="E7" s="164">
        <f>SUM(E8,E15,E20,E23,E28,E31,E63,E82,E111,E123,E169,E180,E211,E261,E280,E330,E352,E431,E454,E462,E490,E551,E577)</f>
        <v>245586594.73999998</v>
      </c>
      <c r="F7" s="164">
        <f>SUM(F8,F15,F20,F23,F28,F31,F63,F82,F111,F123,F169,F180,F211,F261,F280,F330,F352,F431,F454,F462,F490,F551,F577)</f>
        <v>128229256.26</v>
      </c>
      <c r="G7" s="165">
        <f aca="true" t="shared" si="0" ref="G7:G26">F7/E7*100</f>
        <v>52.21345912457275</v>
      </c>
      <c r="H7" s="166"/>
    </row>
    <row r="8" spans="1:8" s="23" customFormat="1" ht="16.5" customHeight="1">
      <c r="A8" s="18" t="s">
        <v>175</v>
      </c>
      <c r="B8" s="19"/>
      <c r="C8" s="19"/>
      <c r="D8" s="20" t="s">
        <v>1078</v>
      </c>
      <c r="E8" s="21">
        <f>SUM(E9,E11)</f>
        <v>19838.33</v>
      </c>
      <c r="F8" s="21">
        <f>SUM(F9,F11)</f>
        <v>20488.800000000003</v>
      </c>
      <c r="G8" s="22">
        <f t="shared" si="0"/>
        <v>103.27885462133153</v>
      </c>
      <c r="H8" s="154"/>
    </row>
    <row r="9" spans="1:8" s="29" customFormat="1" ht="19.5" customHeight="1" hidden="1">
      <c r="A9" s="24"/>
      <c r="B9" s="25" t="s">
        <v>1079</v>
      </c>
      <c r="C9" s="25"/>
      <c r="D9" s="26" t="s">
        <v>1080</v>
      </c>
      <c r="E9" s="27">
        <f>SUM(E10)</f>
        <v>0</v>
      </c>
      <c r="F9" s="27">
        <f>SUM(F10)</f>
        <v>0</v>
      </c>
      <c r="G9" s="28" t="e">
        <f>F9/E9*100</f>
        <v>#DIV/0!</v>
      </c>
      <c r="H9" s="154"/>
    </row>
    <row r="10" spans="1:8" s="35" customFormat="1" ht="27" customHeight="1" hidden="1">
      <c r="A10" s="30"/>
      <c r="B10" s="31"/>
      <c r="C10" s="31" t="s">
        <v>681</v>
      </c>
      <c r="D10" s="32" t="s">
        <v>357</v>
      </c>
      <c r="E10" s="33">
        <v>0</v>
      </c>
      <c r="F10" s="33">
        <v>0</v>
      </c>
      <c r="G10" s="34" t="e">
        <f>F10/E10*100</f>
        <v>#DIV/0!</v>
      </c>
      <c r="H10" s="155"/>
    </row>
    <row r="11" spans="1:8" s="29" customFormat="1" ht="19.5" customHeight="1">
      <c r="A11" s="24"/>
      <c r="B11" s="25" t="s">
        <v>1083</v>
      </c>
      <c r="C11" s="25"/>
      <c r="D11" s="26" t="s">
        <v>176</v>
      </c>
      <c r="E11" s="27">
        <f>SUM(E12,E13,E14)</f>
        <v>19838.33</v>
      </c>
      <c r="F11" s="27">
        <f>SUM(F12,F13,F14)</f>
        <v>20488.800000000003</v>
      </c>
      <c r="G11" s="28">
        <f t="shared" si="0"/>
        <v>103.27885462133153</v>
      </c>
      <c r="H11" s="154"/>
    </row>
    <row r="12" spans="1:8" s="35" customFormat="1" ht="69.75" customHeight="1">
      <c r="A12" s="30"/>
      <c r="B12" s="31"/>
      <c r="C12" s="80" t="s">
        <v>683</v>
      </c>
      <c r="D12" s="32" t="s">
        <v>1375</v>
      </c>
      <c r="E12" s="33">
        <v>0</v>
      </c>
      <c r="F12" s="33">
        <v>648.02</v>
      </c>
      <c r="G12" s="34" t="e">
        <f t="shared" si="0"/>
        <v>#DIV/0!</v>
      </c>
      <c r="H12" s="155"/>
    </row>
    <row r="13" spans="1:8" s="35" customFormat="1" ht="18" customHeight="1">
      <c r="A13" s="30"/>
      <c r="B13" s="31"/>
      <c r="C13" s="31" t="s">
        <v>679</v>
      </c>
      <c r="D13" s="32" t="s">
        <v>1377</v>
      </c>
      <c r="E13" s="51">
        <v>0</v>
      </c>
      <c r="F13" s="51">
        <v>2.45</v>
      </c>
      <c r="G13" s="40" t="e">
        <f>F13/E13*100</f>
        <v>#DIV/0!</v>
      </c>
      <c r="H13" s="155"/>
    </row>
    <row r="14" spans="1:8" s="41" customFormat="1" ht="66.75" customHeight="1">
      <c r="A14" s="30"/>
      <c r="B14" s="36"/>
      <c r="C14" s="37">
        <v>2010</v>
      </c>
      <c r="D14" s="38" t="s">
        <v>1376</v>
      </c>
      <c r="E14" s="39">
        <v>19838.33</v>
      </c>
      <c r="F14" s="39">
        <v>19838.33</v>
      </c>
      <c r="G14" s="40">
        <f t="shared" si="0"/>
        <v>100</v>
      </c>
      <c r="H14" s="155"/>
    </row>
    <row r="15" spans="1:8" s="45" customFormat="1" ht="18" customHeight="1">
      <c r="A15" s="18" t="s">
        <v>177</v>
      </c>
      <c r="B15" s="42"/>
      <c r="C15" s="42"/>
      <c r="D15" s="43" t="s">
        <v>128</v>
      </c>
      <c r="E15" s="44">
        <f>SUM(E16)</f>
        <v>41200</v>
      </c>
      <c r="F15" s="44">
        <f>SUM(F16)</f>
        <v>708.3299999999999</v>
      </c>
      <c r="G15" s="22">
        <f t="shared" si="0"/>
        <v>1.7192475728155336</v>
      </c>
      <c r="H15" s="154"/>
    </row>
    <row r="16" spans="1:7" ht="21" customHeight="1">
      <c r="A16" s="24"/>
      <c r="B16" s="46" t="s">
        <v>178</v>
      </c>
      <c r="C16" s="46"/>
      <c r="D16" s="47" t="s">
        <v>176</v>
      </c>
      <c r="E16" s="48">
        <f>SUM(E17,E18,E19)</f>
        <v>41200</v>
      </c>
      <c r="F16" s="48">
        <f>SUM(F17,F18,F19)</f>
        <v>708.3299999999999</v>
      </c>
      <c r="G16" s="28">
        <f t="shared" si="0"/>
        <v>1.7192475728155336</v>
      </c>
    </row>
    <row r="17" spans="1:8" s="35" customFormat="1" ht="21" customHeight="1">
      <c r="A17" s="30"/>
      <c r="B17" s="31"/>
      <c r="C17" s="31" t="s">
        <v>682</v>
      </c>
      <c r="D17" s="50" t="s">
        <v>767</v>
      </c>
      <c r="E17" s="51">
        <v>1200</v>
      </c>
      <c r="F17" s="51">
        <v>0</v>
      </c>
      <c r="G17" s="40">
        <f t="shared" si="0"/>
        <v>0</v>
      </c>
      <c r="H17" s="155"/>
    </row>
    <row r="18" spans="1:8" s="35" customFormat="1" ht="21" customHeight="1">
      <c r="A18" s="30"/>
      <c r="B18" s="31"/>
      <c r="C18" s="31" t="s">
        <v>667</v>
      </c>
      <c r="D18" s="32" t="s">
        <v>666</v>
      </c>
      <c r="E18" s="51">
        <v>40000</v>
      </c>
      <c r="F18" s="51">
        <v>708.3</v>
      </c>
      <c r="G18" s="40">
        <f t="shared" si="0"/>
        <v>1.7707499999999998</v>
      </c>
      <c r="H18" s="155"/>
    </row>
    <row r="19" spans="1:8" s="35" customFormat="1" ht="18" customHeight="1">
      <c r="A19" s="30"/>
      <c r="B19" s="31"/>
      <c r="C19" s="31" t="s">
        <v>679</v>
      </c>
      <c r="D19" s="32" t="s">
        <v>1377</v>
      </c>
      <c r="E19" s="51">
        <v>0</v>
      </c>
      <c r="F19" s="51">
        <v>0.03</v>
      </c>
      <c r="G19" s="40" t="e">
        <f t="shared" si="0"/>
        <v>#DIV/0!</v>
      </c>
      <c r="H19" s="155"/>
    </row>
    <row r="20" spans="1:8" s="45" customFormat="1" ht="29.25" customHeight="1" hidden="1">
      <c r="A20" s="18" t="s">
        <v>331</v>
      </c>
      <c r="B20" s="42"/>
      <c r="C20" s="42"/>
      <c r="D20" s="52" t="s">
        <v>276</v>
      </c>
      <c r="E20" s="44">
        <f>SUM(E21)</f>
        <v>0</v>
      </c>
      <c r="F20" s="44">
        <f>SUM(F21)</f>
        <v>0</v>
      </c>
      <c r="G20" s="22" t="e">
        <f t="shared" si="0"/>
        <v>#DIV/0!</v>
      </c>
      <c r="H20" s="154"/>
    </row>
    <row r="21" spans="1:7" ht="23.25" customHeight="1" hidden="1">
      <c r="A21" s="24"/>
      <c r="B21" s="46" t="s">
        <v>1086</v>
      </c>
      <c r="C21" s="46"/>
      <c r="D21" s="47" t="s">
        <v>1087</v>
      </c>
      <c r="E21" s="48">
        <f>SUM(E22,E28,E29)</f>
        <v>0</v>
      </c>
      <c r="F21" s="48">
        <f>SUM(F22,F28,F29)</f>
        <v>0</v>
      </c>
      <c r="G21" s="28" t="e">
        <f t="shared" si="0"/>
        <v>#DIV/0!</v>
      </c>
    </row>
    <row r="22" spans="1:8" s="35" customFormat="1" ht="21" customHeight="1" hidden="1">
      <c r="A22" s="30"/>
      <c r="B22" s="31"/>
      <c r="C22" s="31" t="s">
        <v>680</v>
      </c>
      <c r="D22" s="50" t="s">
        <v>770</v>
      </c>
      <c r="E22" s="51">
        <v>0</v>
      </c>
      <c r="F22" s="51">
        <v>0</v>
      </c>
      <c r="G22" s="40" t="e">
        <f t="shared" si="0"/>
        <v>#DIV/0!</v>
      </c>
      <c r="H22" s="155"/>
    </row>
    <row r="23" spans="1:8" s="45" customFormat="1" ht="19.5" customHeight="1">
      <c r="A23" s="18" t="s">
        <v>179</v>
      </c>
      <c r="B23" s="42"/>
      <c r="C23" s="42"/>
      <c r="D23" s="43" t="s">
        <v>1088</v>
      </c>
      <c r="E23" s="44">
        <f>SUM(E24)</f>
        <v>60000</v>
      </c>
      <c r="F23" s="153">
        <f>SUM(F24)</f>
        <v>60000</v>
      </c>
      <c r="G23" s="58">
        <f t="shared" si="0"/>
        <v>100</v>
      </c>
      <c r="H23" s="154"/>
    </row>
    <row r="24" spans="1:7" ht="21.75" customHeight="1">
      <c r="A24" s="24"/>
      <c r="B24" s="46" t="s">
        <v>1094</v>
      </c>
      <c r="C24" s="46"/>
      <c r="D24" s="47" t="s">
        <v>176</v>
      </c>
      <c r="E24" s="53">
        <f>SUM(E25,E26,E27)</f>
        <v>60000</v>
      </c>
      <c r="F24" s="53">
        <f>SUM(F25,F26,F27)</f>
        <v>60000</v>
      </c>
      <c r="G24" s="54">
        <f t="shared" si="0"/>
        <v>100</v>
      </c>
    </row>
    <row r="25" spans="1:8" s="35" customFormat="1" ht="29.25" customHeight="1" hidden="1">
      <c r="A25" s="30"/>
      <c r="B25" s="31"/>
      <c r="C25" s="31" t="s">
        <v>681</v>
      </c>
      <c r="D25" s="32" t="s">
        <v>357</v>
      </c>
      <c r="E25" s="33">
        <v>0</v>
      </c>
      <c r="F25" s="33">
        <v>0</v>
      </c>
      <c r="G25" s="34" t="e">
        <f t="shared" si="0"/>
        <v>#DIV/0!</v>
      </c>
      <c r="H25" s="155"/>
    </row>
    <row r="26" spans="1:8" s="35" customFormat="1" ht="29.25" customHeight="1" hidden="1">
      <c r="A26" s="30"/>
      <c r="B26" s="31"/>
      <c r="C26" s="55" t="s">
        <v>356</v>
      </c>
      <c r="D26" s="38" t="s">
        <v>355</v>
      </c>
      <c r="E26" s="33">
        <v>0</v>
      </c>
      <c r="F26" s="51">
        <v>0</v>
      </c>
      <c r="G26" s="40" t="e">
        <f t="shared" si="0"/>
        <v>#DIV/0!</v>
      </c>
      <c r="H26" s="155"/>
    </row>
    <row r="27" spans="1:8" s="35" customFormat="1" ht="29.25" customHeight="1">
      <c r="A27" s="30"/>
      <c r="B27" s="31"/>
      <c r="C27" s="55" t="s">
        <v>1414</v>
      </c>
      <c r="D27" s="38" t="s">
        <v>1415</v>
      </c>
      <c r="E27" s="33">
        <v>60000</v>
      </c>
      <c r="F27" s="51">
        <v>60000</v>
      </c>
      <c r="G27" s="40">
        <f>F27/E27*100</f>
        <v>100</v>
      </c>
      <c r="H27" s="155"/>
    </row>
    <row r="28" spans="1:8" s="45" customFormat="1" ht="19.5" customHeight="1" hidden="1">
      <c r="A28" s="18" t="s">
        <v>248</v>
      </c>
      <c r="B28" s="42"/>
      <c r="C28" s="42"/>
      <c r="D28" s="43" t="s">
        <v>704</v>
      </c>
      <c r="E28" s="44">
        <f>E30</f>
        <v>0</v>
      </c>
      <c r="F28" s="44">
        <f>F29</f>
        <v>0</v>
      </c>
      <c r="G28" s="22" t="e">
        <f>F28/E28*100</f>
        <v>#DIV/0!</v>
      </c>
      <c r="H28" s="154"/>
    </row>
    <row r="29" spans="1:7" ht="21.75" customHeight="1" hidden="1">
      <c r="A29" s="24"/>
      <c r="B29" s="46" t="s">
        <v>721</v>
      </c>
      <c r="C29" s="46"/>
      <c r="D29" s="47" t="s">
        <v>176</v>
      </c>
      <c r="E29" s="53">
        <f>E30</f>
        <v>0</v>
      </c>
      <c r="F29" s="48">
        <f>F30</f>
        <v>0</v>
      </c>
      <c r="G29" s="28" t="e">
        <f>F29/E29*100</f>
        <v>#DIV/0!</v>
      </c>
    </row>
    <row r="30" spans="1:8" s="35" customFormat="1" ht="29.25" customHeight="1" hidden="1">
      <c r="A30" s="30"/>
      <c r="B30" s="31"/>
      <c r="C30" s="31"/>
      <c r="D30" s="32"/>
      <c r="E30" s="33">
        <v>0</v>
      </c>
      <c r="F30" s="51">
        <v>0</v>
      </c>
      <c r="G30" s="40" t="e">
        <f>F30/E30*100</f>
        <v>#DIV/0!</v>
      </c>
      <c r="H30" s="155"/>
    </row>
    <row r="31" spans="1:7" ht="19.5" customHeight="1">
      <c r="A31" s="18" t="s">
        <v>263</v>
      </c>
      <c r="B31" s="42"/>
      <c r="C31" s="42"/>
      <c r="D31" s="52" t="s">
        <v>264</v>
      </c>
      <c r="E31" s="56">
        <f>SUM(E32,E37,E54)</f>
        <v>1806741</v>
      </c>
      <c r="F31" s="57">
        <f>SUM(F32,F37,F54)</f>
        <v>379966.43000000005</v>
      </c>
      <c r="G31" s="58">
        <f aca="true" t="shared" si="1" ref="G31:G51">F31/E31*100</f>
        <v>21.030486937530064</v>
      </c>
    </row>
    <row r="32" spans="1:7" ht="19.5" customHeight="1">
      <c r="A32" s="24"/>
      <c r="B32" s="46" t="s">
        <v>1069</v>
      </c>
      <c r="C32" s="46"/>
      <c r="D32" s="26" t="s">
        <v>1070</v>
      </c>
      <c r="E32" s="59">
        <f>SUM(E33,E34,E36)</f>
        <v>190061</v>
      </c>
      <c r="F32" s="59">
        <f>SUM(F33,F34,F36)</f>
        <v>120000</v>
      </c>
      <c r="G32" s="54">
        <f t="shared" si="1"/>
        <v>63.13762423642936</v>
      </c>
    </row>
    <row r="33" spans="1:8" s="35" customFormat="1" ht="20.25" customHeight="1" hidden="1">
      <c r="A33" s="30"/>
      <c r="B33" s="31"/>
      <c r="C33" s="31" t="s">
        <v>680</v>
      </c>
      <c r="D33" s="32" t="s">
        <v>770</v>
      </c>
      <c r="E33" s="51">
        <v>0</v>
      </c>
      <c r="F33" s="33">
        <v>0</v>
      </c>
      <c r="G33" s="34" t="e">
        <f t="shared" si="1"/>
        <v>#DIV/0!</v>
      </c>
      <c r="H33" s="155"/>
    </row>
    <row r="34" spans="1:8" s="35" customFormat="1" ht="93.75" customHeight="1">
      <c r="A34" s="30"/>
      <c r="B34" s="31"/>
      <c r="C34" s="31" t="s">
        <v>403</v>
      </c>
      <c r="D34" s="32" t="s">
        <v>1416</v>
      </c>
      <c r="E34" s="33">
        <v>70000</v>
      </c>
      <c r="F34" s="33">
        <v>0</v>
      </c>
      <c r="G34" s="34">
        <f t="shared" si="1"/>
        <v>0</v>
      </c>
      <c r="H34" s="155"/>
    </row>
    <row r="35" spans="1:8" s="35" customFormat="1" ht="33" customHeight="1">
      <c r="A35" s="30"/>
      <c r="B35" s="31"/>
      <c r="C35" s="31"/>
      <c r="D35" s="68" t="s">
        <v>108</v>
      </c>
      <c r="E35" s="33"/>
      <c r="F35" s="33"/>
      <c r="G35" s="34"/>
      <c r="H35" s="155"/>
    </row>
    <row r="36" spans="1:8" s="35" customFormat="1" ht="54" customHeight="1">
      <c r="A36" s="30"/>
      <c r="B36" s="31"/>
      <c r="C36" s="31" t="s">
        <v>1007</v>
      </c>
      <c r="D36" s="32" t="s">
        <v>100</v>
      </c>
      <c r="E36" s="33">
        <v>120061</v>
      </c>
      <c r="F36" s="33">
        <v>120000</v>
      </c>
      <c r="G36" s="34">
        <f t="shared" si="1"/>
        <v>99.94919249381564</v>
      </c>
      <c r="H36" s="155"/>
    </row>
    <row r="37" spans="1:7" ht="19.5" customHeight="1">
      <c r="A37" s="24"/>
      <c r="B37" s="46" t="s">
        <v>266</v>
      </c>
      <c r="C37" s="46"/>
      <c r="D37" s="26" t="s">
        <v>267</v>
      </c>
      <c r="E37" s="53">
        <f>SUM(E38,E39,E40,E41,E42,E43,E44,E45,E46,E47,E48,E50,E51,E53)</f>
        <v>1616680</v>
      </c>
      <c r="F37" s="53">
        <f>SUM(F38,F39,F40,F41,F42,F43,F44,F45,F46,F47,F48,F50,F51,F53)</f>
        <v>227277.66</v>
      </c>
      <c r="G37" s="54">
        <f t="shared" si="1"/>
        <v>14.058296014053493</v>
      </c>
    </row>
    <row r="38" spans="1:8" s="35" customFormat="1" ht="46.5" customHeight="1">
      <c r="A38" s="62"/>
      <c r="B38" s="63"/>
      <c r="C38" s="63" t="s">
        <v>688</v>
      </c>
      <c r="D38" s="38" t="s">
        <v>945</v>
      </c>
      <c r="E38" s="64">
        <v>0</v>
      </c>
      <c r="F38" s="64">
        <v>201825.8</v>
      </c>
      <c r="G38" s="40" t="e">
        <f t="shared" si="1"/>
        <v>#DIV/0!</v>
      </c>
      <c r="H38" s="155"/>
    </row>
    <row r="39" spans="1:8" s="35" customFormat="1" ht="27" customHeight="1" hidden="1">
      <c r="A39" s="30"/>
      <c r="B39" s="31"/>
      <c r="C39" s="31" t="s">
        <v>681</v>
      </c>
      <c r="D39" s="32" t="s">
        <v>1391</v>
      </c>
      <c r="E39" s="33">
        <v>0</v>
      </c>
      <c r="F39" s="33">
        <v>0</v>
      </c>
      <c r="G39" s="34" t="e">
        <f t="shared" si="1"/>
        <v>#DIV/0!</v>
      </c>
      <c r="H39" s="155"/>
    </row>
    <row r="40" spans="1:7" ht="27.75" customHeight="1" hidden="1">
      <c r="A40" s="30"/>
      <c r="B40" s="31"/>
      <c r="C40" s="31" t="s">
        <v>356</v>
      </c>
      <c r="D40" s="32" t="s">
        <v>355</v>
      </c>
      <c r="E40" s="33">
        <v>0</v>
      </c>
      <c r="F40" s="51">
        <v>0</v>
      </c>
      <c r="G40" s="40" t="e">
        <f t="shared" si="1"/>
        <v>#DIV/0!</v>
      </c>
    </row>
    <row r="41" spans="1:7" ht="27.75" customHeight="1">
      <c r="A41" s="30"/>
      <c r="B41" s="31"/>
      <c r="C41" s="31" t="s">
        <v>1417</v>
      </c>
      <c r="D41" s="32" t="s">
        <v>1420</v>
      </c>
      <c r="E41" s="33">
        <v>0</v>
      </c>
      <c r="F41" s="51">
        <v>2823.88</v>
      </c>
      <c r="G41" s="40" t="e">
        <f t="shared" si="1"/>
        <v>#DIV/0!</v>
      </c>
    </row>
    <row r="42" spans="1:7" ht="21" customHeight="1" hidden="1">
      <c r="A42" s="30"/>
      <c r="B42" s="31"/>
      <c r="C42" s="31" t="s">
        <v>682</v>
      </c>
      <c r="D42" s="50" t="s">
        <v>767</v>
      </c>
      <c r="E42" s="33">
        <v>0</v>
      </c>
      <c r="F42" s="51">
        <v>0</v>
      </c>
      <c r="G42" s="40" t="e">
        <f t="shared" si="1"/>
        <v>#DIV/0!</v>
      </c>
    </row>
    <row r="43" spans="1:8" s="35" customFormat="1" ht="20.25" customHeight="1">
      <c r="A43" s="30"/>
      <c r="B43" s="31"/>
      <c r="C43" s="31" t="s">
        <v>667</v>
      </c>
      <c r="D43" s="32" t="s">
        <v>666</v>
      </c>
      <c r="E43" s="51">
        <v>5000</v>
      </c>
      <c r="F43" s="51">
        <v>1627.01</v>
      </c>
      <c r="G43" s="40">
        <f t="shared" si="1"/>
        <v>32.540200000000006</v>
      </c>
      <c r="H43" s="155"/>
    </row>
    <row r="44" spans="1:8" s="35" customFormat="1" ht="20.25" customHeight="1">
      <c r="A44" s="30"/>
      <c r="B44" s="31"/>
      <c r="C44" s="31" t="s">
        <v>679</v>
      </c>
      <c r="D44" s="32" t="s">
        <v>1377</v>
      </c>
      <c r="E44" s="51">
        <v>0</v>
      </c>
      <c r="F44" s="51">
        <v>0.97</v>
      </c>
      <c r="G44" s="40" t="e">
        <f t="shared" si="1"/>
        <v>#DIV/0!</v>
      </c>
      <c r="H44" s="155"/>
    </row>
    <row r="45" spans="1:8" s="35" customFormat="1" ht="27" customHeight="1">
      <c r="A45" s="30"/>
      <c r="B45" s="31"/>
      <c r="C45" s="31" t="s">
        <v>1418</v>
      </c>
      <c r="D45" s="32" t="s">
        <v>1419</v>
      </c>
      <c r="E45" s="51">
        <v>0</v>
      </c>
      <c r="F45" s="51">
        <v>21000</v>
      </c>
      <c r="G45" s="40" t="e">
        <f t="shared" si="1"/>
        <v>#DIV/0!</v>
      </c>
      <c r="H45" s="155"/>
    </row>
    <row r="46" spans="1:8" s="35" customFormat="1" ht="20.25" customHeight="1">
      <c r="A46" s="30"/>
      <c r="B46" s="31"/>
      <c r="C46" s="31" t="s">
        <v>680</v>
      </c>
      <c r="D46" s="32" t="s">
        <v>770</v>
      </c>
      <c r="E46" s="51">
        <v>1100000</v>
      </c>
      <c r="F46" s="51">
        <v>0</v>
      </c>
      <c r="G46" s="40">
        <f t="shared" si="1"/>
        <v>0</v>
      </c>
      <c r="H46" s="155"/>
    </row>
    <row r="47" spans="1:8" s="35" customFormat="1" ht="52.5" customHeight="1" hidden="1">
      <c r="A47" s="30"/>
      <c r="B47" s="60"/>
      <c r="C47" s="55" t="s">
        <v>723</v>
      </c>
      <c r="D47" s="61" t="s">
        <v>163</v>
      </c>
      <c r="E47" s="51">
        <v>0</v>
      </c>
      <c r="F47" s="51">
        <v>0</v>
      </c>
      <c r="G47" s="40" t="e">
        <f t="shared" si="1"/>
        <v>#DIV/0!</v>
      </c>
      <c r="H47" s="155"/>
    </row>
    <row r="48" spans="1:8" s="35" customFormat="1" ht="88.5" customHeight="1" hidden="1">
      <c r="A48" s="30"/>
      <c r="B48" s="31"/>
      <c r="C48" s="36" t="s">
        <v>296</v>
      </c>
      <c r="D48" s="68" t="s">
        <v>1378</v>
      </c>
      <c r="E48" s="51">
        <v>0</v>
      </c>
      <c r="F48" s="51">
        <v>0</v>
      </c>
      <c r="G48" s="40" t="e">
        <f>F48/E48*100</f>
        <v>#DIV/0!</v>
      </c>
      <c r="H48" s="155"/>
    </row>
    <row r="49" spans="1:8" s="35" customFormat="1" ht="24.75" customHeight="1" hidden="1">
      <c r="A49" s="30"/>
      <c r="B49" s="31"/>
      <c r="C49" s="36"/>
      <c r="D49" s="68" t="s">
        <v>108</v>
      </c>
      <c r="E49" s="51"/>
      <c r="F49" s="51"/>
      <c r="G49" s="40"/>
      <c r="H49" s="155"/>
    </row>
    <row r="50" spans="1:8" s="35" customFormat="1" ht="65.25" customHeight="1">
      <c r="A50" s="30"/>
      <c r="B50" s="60"/>
      <c r="C50" s="31" t="s">
        <v>436</v>
      </c>
      <c r="D50" s="32" t="s">
        <v>1398</v>
      </c>
      <c r="E50" s="51">
        <v>511680</v>
      </c>
      <c r="F50" s="51">
        <v>0</v>
      </c>
      <c r="G50" s="40">
        <f t="shared" si="1"/>
        <v>0</v>
      </c>
      <c r="H50" s="155"/>
    </row>
    <row r="51" spans="1:8" s="35" customFormat="1" ht="54" customHeight="1" hidden="1">
      <c r="A51" s="30"/>
      <c r="B51" s="60"/>
      <c r="C51" s="31" t="s">
        <v>346</v>
      </c>
      <c r="D51" s="32" t="s">
        <v>1398</v>
      </c>
      <c r="E51" s="39">
        <v>0</v>
      </c>
      <c r="F51" s="39">
        <v>0</v>
      </c>
      <c r="G51" s="40" t="e">
        <f t="shared" si="1"/>
        <v>#DIV/0!</v>
      </c>
      <c r="H51" s="155"/>
    </row>
    <row r="52" spans="1:8" s="35" customFormat="1" ht="66" customHeight="1" hidden="1">
      <c r="A52" s="30"/>
      <c r="B52" s="31"/>
      <c r="C52" s="31"/>
      <c r="D52" s="38" t="s">
        <v>1400</v>
      </c>
      <c r="E52" s="39"/>
      <c r="F52" s="39"/>
      <c r="G52" s="40"/>
      <c r="H52" s="155"/>
    </row>
    <row r="53" spans="1:8" s="35" customFormat="1" ht="38.25" customHeight="1" hidden="1">
      <c r="A53" s="30"/>
      <c r="B53" s="60"/>
      <c r="C53" s="31" t="s">
        <v>431</v>
      </c>
      <c r="D53" s="38" t="s">
        <v>469</v>
      </c>
      <c r="E53" s="39">
        <v>0</v>
      </c>
      <c r="F53" s="39">
        <v>0</v>
      </c>
      <c r="G53" s="40" t="e">
        <f>F53/E53*100</f>
        <v>#DIV/0!</v>
      </c>
      <c r="H53" s="155"/>
    </row>
    <row r="54" spans="1:7" ht="21.75" customHeight="1">
      <c r="A54" s="24"/>
      <c r="B54" s="65" t="s">
        <v>943</v>
      </c>
      <c r="C54" s="46"/>
      <c r="D54" s="26" t="s">
        <v>944</v>
      </c>
      <c r="E54" s="27">
        <f>SUM(E55,E56,E57,E58,E59,E61)</f>
        <v>0</v>
      </c>
      <c r="F54" s="27">
        <f>SUM(F55,F56,F57,F58,F59,F61)</f>
        <v>32688.77</v>
      </c>
      <c r="G54" s="28" t="e">
        <f>F54/E54*100</f>
        <v>#DIV/0!</v>
      </c>
    </row>
    <row r="55" spans="1:7" ht="27.75" customHeight="1" hidden="1">
      <c r="A55" s="30"/>
      <c r="B55" s="31"/>
      <c r="C55" s="31" t="s">
        <v>356</v>
      </c>
      <c r="D55" s="32" t="s">
        <v>355</v>
      </c>
      <c r="E55" s="33">
        <v>0</v>
      </c>
      <c r="F55" s="51">
        <v>0</v>
      </c>
      <c r="G55" s="40" t="s">
        <v>799</v>
      </c>
    </row>
    <row r="56" spans="1:8" s="35" customFormat="1" ht="21" customHeight="1" hidden="1">
      <c r="A56" s="30"/>
      <c r="B56" s="31"/>
      <c r="C56" s="31" t="s">
        <v>682</v>
      </c>
      <c r="D56" s="50" t="s">
        <v>767</v>
      </c>
      <c r="E56" s="51">
        <v>0</v>
      </c>
      <c r="F56" s="51">
        <v>0</v>
      </c>
      <c r="G56" s="40" t="e">
        <f>F56/E56*100</f>
        <v>#DIV/0!</v>
      </c>
      <c r="H56" s="155"/>
    </row>
    <row r="57" spans="1:8" s="35" customFormat="1" ht="66" customHeight="1">
      <c r="A57" s="62"/>
      <c r="B57" s="63"/>
      <c r="C57" s="55" t="s">
        <v>683</v>
      </c>
      <c r="D57" s="32" t="s">
        <v>1375</v>
      </c>
      <c r="E57" s="64">
        <v>0</v>
      </c>
      <c r="F57" s="64">
        <v>29318.81</v>
      </c>
      <c r="G57" s="40" t="e">
        <f>F57/E57*100</f>
        <v>#DIV/0!</v>
      </c>
      <c r="H57" s="155"/>
    </row>
    <row r="58" spans="1:8" s="35" customFormat="1" ht="21" customHeight="1">
      <c r="A58" s="30"/>
      <c r="B58" s="31"/>
      <c r="C58" s="31" t="s">
        <v>679</v>
      </c>
      <c r="D58" s="32" t="s">
        <v>1377</v>
      </c>
      <c r="E58" s="51">
        <v>0</v>
      </c>
      <c r="F58" s="51">
        <v>3369.96</v>
      </c>
      <c r="G58" s="40" t="e">
        <f>F58/E58*100</f>
        <v>#DIV/0!</v>
      </c>
      <c r="H58" s="155"/>
    </row>
    <row r="59" spans="1:8" s="35" customFormat="1" ht="54.75" customHeight="1" hidden="1">
      <c r="A59" s="30"/>
      <c r="B59" s="60"/>
      <c r="C59" s="31" t="s">
        <v>346</v>
      </c>
      <c r="D59" s="32" t="s">
        <v>551</v>
      </c>
      <c r="E59" s="39">
        <v>0</v>
      </c>
      <c r="F59" s="39">
        <v>0</v>
      </c>
      <c r="G59" s="40" t="e">
        <f>F59/E59*100</f>
        <v>#DIV/0!</v>
      </c>
      <c r="H59" s="155"/>
    </row>
    <row r="60" spans="1:8" s="35" customFormat="1" ht="66.75" customHeight="1" hidden="1">
      <c r="A60" s="30"/>
      <c r="B60" s="60"/>
      <c r="C60" s="31"/>
      <c r="D60" s="38" t="s">
        <v>889</v>
      </c>
      <c r="E60" s="39"/>
      <c r="F60" s="39"/>
      <c r="G60" s="40"/>
      <c r="H60" s="155"/>
    </row>
    <row r="61" spans="1:8" s="35" customFormat="1" ht="54" customHeight="1" hidden="1">
      <c r="A61" s="30"/>
      <c r="B61" s="60"/>
      <c r="C61" s="31" t="s">
        <v>632</v>
      </c>
      <c r="D61" s="32" t="s">
        <v>551</v>
      </c>
      <c r="E61" s="39">
        <v>0</v>
      </c>
      <c r="F61" s="39">
        <v>0</v>
      </c>
      <c r="G61" s="40" t="e">
        <f>F61/E61*100</f>
        <v>#DIV/0!</v>
      </c>
      <c r="H61" s="155"/>
    </row>
    <row r="62" spans="1:8" s="35" customFormat="1" ht="66.75" customHeight="1" hidden="1">
      <c r="A62" s="30"/>
      <c r="B62" s="60"/>
      <c r="C62" s="31"/>
      <c r="D62" s="38" t="s">
        <v>892</v>
      </c>
      <c r="E62" s="39"/>
      <c r="F62" s="39"/>
      <c r="G62" s="40"/>
      <c r="H62" s="155"/>
    </row>
    <row r="63" spans="1:8" s="45" customFormat="1" ht="19.5" customHeight="1" hidden="1">
      <c r="A63" s="18" t="s">
        <v>268</v>
      </c>
      <c r="B63" s="42"/>
      <c r="C63" s="42"/>
      <c r="D63" s="52" t="s">
        <v>269</v>
      </c>
      <c r="E63" s="44">
        <f>SUM(E64,E72)</f>
        <v>0</v>
      </c>
      <c r="F63" s="44">
        <f>SUM(F64,F72)</f>
        <v>0</v>
      </c>
      <c r="G63" s="22" t="e">
        <f>F63/E63*100</f>
        <v>#DIV/0!</v>
      </c>
      <c r="H63" s="154"/>
    </row>
    <row r="64" spans="1:7" ht="16.5" customHeight="1" hidden="1">
      <c r="A64" s="24"/>
      <c r="B64" s="46" t="s">
        <v>328</v>
      </c>
      <c r="C64" s="46"/>
      <c r="D64" s="26" t="s">
        <v>329</v>
      </c>
      <c r="E64" s="48">
        <f>SUM(E65,E66,E67,E68,E69,E70)</f>
        <v>0</v>
      </c>
      <c r="F64" s="48">
        <f>SUM(F65,F66,F67,F68,F69,F70)</f>
        <v>0</v>
      </c>
      <c r="G64" s="28" t="e">
        <f>F64/E64*100</f>
        <v>#DIV/0!</v>
      </c>
    </row>
    <row r="65" spans="1:7" ht="24.75" customHeight="1" hidden="1">
      <c r="A65" s="24"/>
      <c r="B65" s="46"/>
      <c r="C65" s="31" t="s">
        <v>681</v>
      </c>
      <c r="D65" s="32" t="s">
        <v>357</v>
      </c>
      <c r="E65" s="51">
        <v>0</v>
      </c>
      <c r="F65" s="51">
        <v>0</v>
      </c>
      <c r="G65" s="28" t="e">
        <f>F65/E65*100</f>
        <v>#DIV/0!</v>
      </c>
    </row>
    <row r="66" spans="1:7" ht="30.75" customHeight="1" hidden="1">
      <c r="A66" s="30"/>
      <c r="B66" s="31"/>
      <c r="C66" s="66" t="s">
        <v>356</v>
      </c>
      <c r="D66" s="32" t="s">
        <v>355</v>
      </c>
      <c r="E66" s="51">
        <v>0</v>
      </c>
      <c r="F66" s="51">
        <v>0</v>
      </c>
      <c r="G66" s="28" t="e">
        <f>F66/E66*100</f>
        <v>#DIV/0!</v>
      </c>
    </row>
    <row r="67" spans="1:7" ht="21" customHeight="1" hidden="1">
      <c r="A67" s="30"/>
      <c r="B67" s="31"/>
      <c r="C67" s="31" t="s">
        <v>667</v>
      </c>
      <c r="D67" s="32" t="s">
        <v>666</v>
      </c>
      <c r="E67" s="51">
        <v>0</v>
      </c>
      <c r="F67" s="51">
        <v>0</v>
      </c>
      <c r="G67" s="40" t="e">
        <f>F67/E67*100</f>
        <v>#DIV/0!</v>
      </c>
    </row>
    <row r="68" spans="1:8" s="35" customFormat="1" ht="21" customHeight="1" hidden="1">
      <c r="A68" s="30"/>
      <c r="B68" s="31"/>
      <c r="C68" s="31" t="s">
        <v>679</v>
      </c>
      <c r="D68" s="32" t="s">
        <v>771</v>
      </c>
      <c r="E68" s="51">
        <v>0</v>
      </c>
      <c r="F68" s="51">
        <v>0</v>
      </c>
      <c r="G68" s="40" t="s">
        <v>799</v>
      </c>
      <c r="H68" s="155"/>
    </row>
    <row r="69" spans="1:8" s="35" customFormat="1" ht="21" customHeight="1" hidden="1">
      <c r="A69" s="30"/>
      <c r="B69" s="36"/>
      <c r="C69" s="36" t="s">
        <v>680</v>
      </c>
      <c r="D69" s="1374" t="s">
        <v>770</v>
      </c>
      <c r="E69" s="67">
        <v>0</v>
      </c>
      <c r="F69" s="67">
        <v>0</v>
      </c>
      <c r="G69" s="40" t="s">
        <v>799</v>
      </c>
      <c r="H69" s="155"/>
    </row>
    <row r="70" spans="1:8" s="35" customFormat="1" ht="54" customHeight="1" hidden="1">
      <c r="A70" s="30"/>
      <c r="B70" s="31"/>
      <c r="C70" s="31" t="s">
        <v>872</v>
      </c>
      <c r="D70" s="32" t="s">
        <v>797</v>
      </c>
      <c r="E70" s="39">
        <v>0</v>
      </c>
      <c r="F70" s="39">
        <v>0</v>
      </c>
      <c r="G70" s="34" t="e">
        <f>F70/E70*100</f>
        <v>#DIV/0!</v>
      </c>
      <c r="H70" s="155"/>
    </row>
    <row r="71" spans="1:8" s="35" customFormat="1" ht="79.5" customHeight="1" hidden="1">
      <c r="A71" s="30"/>
      <c r="B71" s="31"/>
      <c r="C71" s="31"/>
      <c r="D71" s="38" t="s">
        <v>552</v>
      </c>
      <c r="E71" s="1375"/>
      <c r="F71" s="39"/>
      <c r="G71" s="34"/>
      <c r="H71" s="155"/>
    </row>
    <row r="72" spans="1:8" s="35" customFormat="1" ht="18" customHeight="1" hidden="1">
      <c r="A72" s="24"/>
      <c r="B72" s="46" t="s">
        <v>1097</v>
      </c>
      <c r="C72" s="46"/>
      <c r="D72" s="26" t="s">
        <v>176</v>
      </c>
      <c r="E72" s="48">
        <f>SUM(E73,E74,E75,E77,E79,E81)</f>
        <v>0</v>
      </c>
      <c r="F72" s="48">
        <f>SUM(F73,F74,F75,F77,F79,F81)</f>
        <v>0</v>
      </c>
      <c r="G72" s="28" t="e">
        <f>F72/E72*100</f>
        <v>#DIV/0!</v>
      </c>
      <c r="H72" s="155"/>
    </row>
    <row r="73" spans="1:8" s="35" customFormat="1" ht="29.25" customHeight="1" hidden="1">
      <c r="A73" s="30"/>
      <c r="B73" s="31"/>
      <c r="C73" s="31" t="s">
        <v>681</v>
      </c>
      <c r="D73" s="32" t="s">
        <v>357</v>
      </c>
      <c r="E73" s="51">
        <v>0</v>
      </c>
      <c r="F73" s="51">
        <v>0</v>
      </c>
      <c r="G73" s="40" t="e">
        <f>F73/E73*100</f>
        <v>#DIV/0!</v>
      </c>
      <c r="H73" s="155"/>
    </row>
    <row r="74" spans="1:8" s="35" customFormat="1" ht="20.25" customHeight="1" hidden="1">
      <c r="A74" s="30"/>
      <c r="B74" s="31"/>
      <c r="C74" s="36" t="s">
        <v>680</v>
      </c>
      <c r="D74" s="1374" t="s">
        <v>770</v>
      </c>
      <c r="E74" s="51">
        <v>0</v>
      </c>
      <c r="F74" s="51">
        <v>0</v>
      </c>
      <c r="G74" s="28" t="e">
        <f>F74/E74*100</f>
        <v>#DIV/0!</v>
      </c>
      <c r="H74" s="155"/>
    </row>
    <row r="75" spans="1:8" s="35" customFormat="1" ht="72" customHeight="1" hidden="1">
      <c r="A75" s="30"/>
      <c r="B75" s="31"/>
      <c r="C75" s="36" t="s">
        <v>296</v>
      </c>
      <c r="D75" s="68" t="s">
        <v>298</v>
      </c>
      <c r="E75" s="51">
        <v>0</v>
      </c>
      <c r="F75" s="51">
        <v>0</v>
      </c>
      <c r="G75" s="40" t="e">
        <f>F75/E75*100</f>
        <v>#DIV/0!</v>
      </c>
      <c r="H75" s="155"/>
    </row>
    <row r="76" spans="1:8" s="35" customFormat="1" ht="24.75" customHeight="1" hidden="1">
      <c r="A76" s="30"/>
      <c r="B76" s="31"/>
      <c r="C76" s="36"/>
      <c r="D76" s="68" t="s">
        <v>108</v>
      </c>
      <c r="E76" s="51"/>
      <c r="F76" s="51"/>
      <c r="G76" s="40"/>
      <c r="H76" s="155"/>
    </row>
    <row r="77" spans="1:8" s="35" customFormat="1" ht="69.75" customHeight="1" hidden="1">
      <c r="A77" s="30"/>
      <c r="B77" s="31"/>
      <c r="C77" s="36" t="s">
        <v>297</v>
      </c>
      <c r="D77" s="68" t="s">
        <v>298</v>
      </c>
      <c r="E77" s="51">
        <v>0</v>
      </c>
      <c r="F77" s="51">
        <v>0</v>
      </c>
      <c r="G77" s="40" t="e">
        <f>F77/E77*100</f>
        <v>#DIV/0!</v>
      </c>
      <c r="H77" s="155"/>
    </row>
    <row r="78" spans="1:8" s="35" customFormat="1" ht="78" customHeight="1" hidden="1">
      <c r="A78" s="30"/>
      <c r="B78" s="31"/>
      <c r="C78" s="36"/>
      <c r="D78" s="38" t="s">
        <v>271</v>
      </c>
      <c r="E78" s="51"/>
      <c r="F78" s="51"/>
      <c r="G78" s="40"/>
      <c r="H78" s="155"/>
    </row>
    <row r="79" spans="1:7" ht="50.25" customHeight="1" hidden="1">
      <c r="A79" s="62"/>
      <c r="B79" s="63"/>
      <c r="C79" s="55" t="s">
        <v>346</v>
      </c>
      <c r="D79" s="32" t="s">
        <v>551</v>
      </c>
      <c r="E79" s="64">
        <v>0</v>
      </c>
      <c r="F79" s="64">
        <v>0</v>
      </c>
      <c r="G79" s="40" t="e">
        <f>F79/E79*100</f>
        <v>#DIV/0!</v>
      </c>
    </row>
    <row r="80" spans="1:8" s="35" customFormat="1" ht="74.25" customHeight="1" hidden="1">
      <c r="A80" s="30"/>
      <c r="B80" s="31"/>
      <c r="C80" s="36"/>
      <c r="D80" s="38" t="s">
        <v>552</v>
      </c>
      <c r="E80" s="51"/>
      <c r="F80" s="51"/>
      <c r="G80" s="40"/>
      <c r="H80" s="155"/>
    </row>
    <row r="81" spans="1:8" s="35" customFormat="1" ht="39.75" customHeight="1" hidden="1">
      <c r="A81" s="30"/>
      <c r="B81" s="31"/>
      <c r="C81" s="31" t="s">
        <v>431</v>
      </c>
      <c r="D81" s="32" t="s">
        <v>469</v>
      </c>
      <c r="E81" s="51">
        <v>0</v>
      </c>
      <c r="F81" s="51">
        <v>0</v>
      </c>
      <c r="G81" s="40" t="e">
        <f aca="true" t="shared" si="2" ref="G81:G107">F81/E81*100</f>
        <v>#DIV/0!</v>
      </c>
      <c r="H81" s="155"/>
    </row>
    <row r="82" spans="1:8" s="45" customFormat="1" ht="21" customHeight="1">
      <c r="A82" s="18" t="s">
        <v>270</v>
      </c>
      <c r="B82" s="42"/>
      <c r="C82" s="42"/>
      <c r="D82" s="43" t="s">
        <v>216</v>
      </c>
      <c r="E82" s="44">
        <f>SUM(E83,E90,E106)</f>
        <v>41850287</v>
      </c>
      <c r="F82" s="44">
        <f>SUM(F83,F90,F106)</f>
        <v>30141273.08</v>
      </c>
      <c r="G82" s="22">
        <f t="shared" si="2"/>
        <v>72.02166398524339</v>
      </c>
      <c r="H82" s="154"/>
    </row>
    <row r="83" spans="1:7" ht="21" customHeight="1" hidden="1">
      <c r="A83" s="30"/>
      <c r="B83" s="46" t="s">
        <v>1099</v>
      </c>
      <c r="C83" s="46"/>
      <c r="D83" s="47" t="s">
        <v>1101</v>
      </c>
      <c r="E83" s="48">
        <f>SUM(E84,E85,E86,E88)</f>
        <v>0</v>
      </c>
      <c r="F83" s="48">
        <f>SUM(F84,F85,F86,F88)</f>
        <v>0</v>
      </c>
      <c r="G83" s="28" t="e">
        <f>F83/E83*100</f>
        <v>#DIV/0!</v>
      </c>
    </row>
    <row r="84" spans="1:8" s="35" customFormat="1" ht="40.5" customHeight="1" hidden="1">
      <c r="A84" s="30"/>
      <c r="B84" s="31"/>
      <c r="C84" s="31" t="s">
        <v>420</v>
      </c>
      <c r="D84" s="32" t="s">
        <v>157</v>
      </c>
      <c r="E84" s="51">
        <v>0</v>
      </c>
      <c r="F84" s="51">
        <v>0</v>
      </c>
      <c r="G84" s="40" t="e">
        <f>F84/E84*100</f>
        <v>#DIV/0!</v>
      </c>
      <c r="H84" s="155"/>
    </row>
    <row r="85" spans="1:8" s="35" customFormat="1" ht="67.5" customHeight="1" hidden="1">
      <c r="A85" s="30"/>
      <c r="B85" s="31"/>
      <c r="C85" s="31" t="s">
        <v>961</v>
      </c>
      <c r="D85" s="68" t="s">
        <v>566</v>
      </c>
      <c r="E85" s="51">
        <v>0</v>
      </c>
      <c r="F85" s="51">
        <v>0</v>
      </c>
      <c r="G85" s="40" t="e">
        <f>F85/E85*100</f>
        <v>#DIV/0!</v>
      </c>
      <c r="H85" s="155"/>
    </row>
    <row r="86" spans="1:8" s="35" customFormat="1" ht="68.25" customHeight="1" hidden="1">
      <c r="A86" s="30"/>
      <c r="B86" s="31"/>
      <c r="C86" s="63" t="s">
        <v>296</v>
      </c>
      <c r="D86" s="68" t="s">
        <v>298</v>
      </c>
      <c r="E86" s="51">
        <v>0</v>
      </c>
      <c r="F86" s="51">
        <v>0</v>
      </c>
      <c r="G86" s="40" t="e">
        <f>F86/E86*100</f>
        <v>#DIV/0!</v>
      </c>
      <c r="H86" s="155"/>
    </row>
    <row r="87" spans="1:8" s="35" customFormat="1" ht="29.25" customHeight="1" hidden="1">
      <c r="A87" s="30"/>
      <c r="B87" s="31"/>
      <c r="C87" s="55"/>
      <c r="D87" s="38" t="s">
        <v>108</v>
      </c>
      <c r="E87" s="51"/>
      <c r="F87" s="51"/>
      <c r="G87" s="40"/>
      <c r="H87" s="155"/>
    </row>
    <row r="88" spans="1:8" s="35" customFormat="1" ht="67.5" customHeight="1" hidden="1">
      <c r="A88" s="30"/>
      <c r="B88" s="31"/>
      <c r="C88" s="31" t="s">
        <v>310</v>
      </c>
      <c r="D88" s="68" t="s">
        <v>298</v>
      </c>
      <c r="E88" s="51">
        <v>0</v>
      </c>
      <c r="F88" s="51">
        <v>0</v>
      </c>
      <c r="G88" s="40" t="e">
        <f>F88/E88*100</f>
        <v>#DIV/0!</v>
      </c>
      <c r="H88" s="155"/>
    </row>
    <row r="89" spans="1:8" s="35" customFormat="1" ht="77.25" customHeight="1" hidden="1">
      <c r="A89" s="30"/>
      <c r="B89" s="31"/>
      <c r="C89" s="31"/>
      <c r="D89" s="38" t="s">
        <v>552</v>
      </c>
      <c r="E89" s="51"/>
      <c r="F89" s="51"/>
      <c r="G89" s="40"/>
      <c r="H89" s="155"/>
    </row>
    <row r="90" spans="1:7" ht="21" customHeight="1">
      <c r="A90" s="30"/>
      <c r="B90" s="46" t="s">
        <v>217</v>
      </c>
      <c r="C90" s="46"/>
      <c r="D90" s="47" t="s">
        <v>218</v>
      </c>
      <c r="E90" s="48">
        <f>SUM(E91,E92,E93,E94,E95,E96,E97,E98,E99,E100,E101,E102,E103,E104,E105)</f>
        <v>41790787</v>
      </c>
      <c r="F90" s="48">
        <f>SUM(F91,F92,F93,F94,F95,F96,F97,F98,F99,F100,F101,F102,F103,F104,F105)</f>
        <v>30141273.08</v>
      </c>
      <c r="G90" s="28">
        <f t="shared" si="2"/>
        <v>72.12420546184019</v>
      </c>
    </row>
    <row r="91" spans="1:8" s="35" customFormat="1" ht="29.25" customHeight="1">
      <c r="A91" s="30"/>
      <c r="B91" s="31"/>
      <c r="C91" s="31" t="s">
        <v>687</v>
      </c>
      <c r="D91" s="32" t="s">
        <v>1379</v>
      </c>
      <c r="E91" s="51">
        <v>70000</v>
      </c>
      <c r="F91" s="51">
        <v>74978.42</v>
      </c>
      <c r="G91" s="40">
        <f t="shared" si="2"/>
        <v>107.11202857142857</v>
      </c>
      <c r="H91" s="155"/>
    </row>
    <row r="92" spans="1:8" s="35" customFormat="1" ht="29.25" customHeight="1">
      <c r="A92" s="30"/>
      <c r="B92" s="31"/>
      <c r="C92" s="31" t="s">
        <v>1308</v>
      </c>
      <c r="D92" s="32" t="s">
        <v>1309</v>
      </c>
      <c r="E92" s="51">
        <v>3000000</v>
      </c>
      <c r="F92" s="51">
        <v>2903941.36</v>
      </c>
      <c r="G92" s="40">
        <f t="shared" si="2"/>
        <v>96.79804533333332</v>
      </c>
      <c r="H92" s="155"/>
    </row>
    <row r="93" spans="1:8" s="35" customFormat="1" ht="29.25" customHeight="1" hidden="1">
      <c r="A93" s="30"/>
      <c r="B93" s="31"/>
      <c r="C93" s="31" t="s">
        <v>681</v>
      </c>
      <c r="D93" s="32" t="s">
        <v>1391</v>
      </c>
      <c r="E93" s="51">
        <v>0</v>
      </c>
      <c r="F93" s="51">
        <v>0</v>
      </c>
      <c r="G93" s="40" t="e">
        <f t="shared" si="2"/>
        <v>#DIV/0!</v>
      </c>
      <c r="H93" s="155"/>
    </row>
    <row r="94" spans="1:7" ht="27.75" customHeight="1" hidden="1">
      <c r="A94" s="30"/>
      <c r="B94" s="31"/>
      <c r="C94" s="31" t="s">
        <v>356</v>
      </c>
      <c r="D94" s="32" t="s">
        <v>355</v>
      </c>
      <c r="E94" s="33">
        <v>0</v>
      </c>
      <c r="F94" s="51">
        <v>0</v>
      </c>
      <c r="G94" s="40" t="e">
        <f t="shared" si="2"/>
        <v>#DIV/0!</v>
      </c>
    </row>
    <row r="95" spans="1:7" ht="27.75" customHeight="1">
      <c r="A95" s="30"/>
      <c r="B95" s="31"/>
      <c r="C95" s="31" t="s">
        <v>1417</v>
      </c>
      <c r="D95" s="32" t="s">
        <v>1420</v>
      </c>
      <c r="E95" s="33">
        <v>0</v>
      </c>
      <c r="F95" s="51">
        <v>21489.2</v>
      </c>
      <c r="G95" s="40" t="e">
        <f t="shared" si="2"/>
        <v>#DIV/0!</v>
      </c>
    </row>
    <row r="96" spans="1:7" ht="21.75" customHeight="1">
      <c r="A96" s="30"/>
      <c r="B96" s="31"/>
      <c r="C96" s="31" t="s">
        <v>682</v>
      </c>
      <c r="D96" s="32" t="s">
        <v>767</v>
      </c>
      <c r="E96" s="33">
        <v>55000</v>
      </c>
      <c r="F96" s="51">
        <v>28144.67</v>
      </c>
      <c r="G96" s="40">
        <f t="shared" si="2"/>
        <v>51.17212727272727</v>
      </c>
    </row>
    <row r="97" spans="1:8" s="35" customFormat="1" ht="69" customHeight="1">
      <c r="A97" s="30"/>
      <c r="B97" s="31"/>
      <c r="C97" s="31" t="s">
        <v>683</v>
      </c>
      <c r="D97" s="32" t="s">
        <v>1375</v>
      </c>
      <c r="E97" s="51">
        <v>2500000</v>
      </c>
      <c r="F97" s="51">
        <v>1570538.49</v>
      </c>
      <c r="G97" s="40">
        <f t="shared" si="2"/>
        <v>62.8215396</v>
      </c>
      <c r="H97" s="155"/>
    </row>
    <row r="98" spans="1:8" s="35" customFormat="1" ht="42" customHeight="1">
      <c r="A98" s="30"/>
      <c r="B98" s="31"/>
      <c r="C98" s="31" t="s">
        <v>689</v>
      </c>
      <c r="D98" s="32" t="s">
        <v>774</v>
      </c>
      <c r="E98" s="51">
        <v>500000</v>
      </c>
      <c r="F98" s="51">
        <v>403629.72</v>
      </c>
      <c r="G98" s="40">
        <f t="shared" si="2"/>
        <v>80.725944</v>
      </c>
      <c r="H98" s="155"/>
    </row>
    <row r="99" spans="1:8" s="69" customFormat="1" ht="39" customHeight="1">
      <c r="A99" s="30"/>
      <c r="B99" s="31"/>
      <c r="C99" s="31" t="s">
        <v>690</v>
      </c>
      <c r="D99" s="32" t="s">
        <v>553</v>
      </c>
      <c r="E99" s="51">
        <v>34565787</v>
      </c>
      <c r="F99" s="51">
        <v>24834096.48</v>
      </c>
      <c r="G99" s="40">
        <f t="shared" si="2"/>
        <v>71.84588761135396</v>
      </c>
      <c r="H99" s="156"/>
    </row>
    <row r="100" spans="1:8" s="35" customFormat="1" ht="19.5" customHeight="1">
      <c r="A100" s="30"/>
      <c r="B100" s="36"/>
      <c r="C100" s="36" t="s">
        <v>679</v>
      </c>
      <c r="D100" s="32" t="s">
        <v>1377</v>
      </c>
      <c r="E100" s="67">
        <v>50000</v>
      </c>
      <c r="F100" s="67">
        <v>173645.49</v>
      </c>
      <c r="G100" s="40">
        <f t="shared" si="2"/>
        <v>347.29097999999993</v>
      </c>
      <c r="H100" s="155"/>
    </row>
    <row r="101" spans="1:8" s="35" customFormat="1" ht="26.25" customHeight="1">
      <c r="A101" s="30"/>
      <c r="B101" s="36"/>
      <c r="C101" s="36" t="s">
        <v>1418</v>
      </c>
      <c r="D101" s="32" t="s">
        <v>1419</v>
      </c>
      <c r="E101" s="67">
        <v>0</v>
      </c>
      <c r="F101" s="67">
        <v>123394</v>
      </c>
      <c r="G101" s="40" t="e">
        <f t="shared" si="2"/>
        <v>#DIV/0!</v>
      </c>
      <c r="H101" s="155"/>
    </row>
    <row r="102" spans="1:8" s="35" customFormat="1" ht="26.25" customHeight="1">
      <c r="A102" s="30"/>
      <c r="B102" s="36"/>
      <c r="C102" s="36" t="s">
        <v>300</v>
      </c>
      <c r="D102" s="32" t="s">
        <v>1396</v>
      </c>
      <c r="E102" s="67">
        <v>1000000</v>
      </c>
      <c r="F102" s="67">
        <v>0</v>
      </c>
      <c r="G102" s="40">
        <f t="shared" si="2"/>
        <v>0</v>
      </c>
      <c r="H102" s="155"/>
    </row>
    <row r="103" spans="1:8" s="35" customFormat="1" ht="19.5" customHeight="1">
      <c r="A103" s="30"/>
      <c r="B103" s="36"/>
      <c r="C103" s="55" t="s">
        <v>680</v>
      </c>
      <c r="D103" s="38" t="s">
        <v>770</v>
      </c>
      <c r="E103" s="64">
        <v>50000</v>
      </c>
      <c r="F103" s="64">
        <v>7415.25</v>
      </c>
      <c r="G103" s="40">
        <f t="shared" si="2"/>
        <v>14.830499999999999</v>
      </c>
      <c r="H103" s="155"/>
    </row>
    <row r="104" spans="1:8" s="35" customFormat="1" ht="63" customHeight="1" hidden="1">
      <c r="A104" s="62"/>
      <c r="B104" s="63"/>
      <c r="C104" s="37">
        <v>2010</v>
      </c>
      <c r="D104" s="38" t="s">
        <v>314</v>
      </c>
      <c r="E104" s="64">
        <v>0</v>
      </c>
      <c r="F104" s="64">
        <v>0</v>
      </c>
      <c r="G104" s="40" t="e">
        <f t="shared" si="2"/>
        <v>#DIV/0!</v>
      </c>
      <c r="H104" s="155"/>
    </row>
    <row r="105" spans="1:8" s="35" customFormat="1" ht="55.5" customHeight="1" hidden="1">
      <c r="A105" s="62"/>
      <c r="B105" s="63"/>
      <c r="C105" s="37">
        <v>2020</v>
      </c>
      <c r="D105" s="38" t="s">
        <v>327</v>
      </c>
      <c r="E105" s="64">
        <v>0</v>
      </c>
      <c r="F105" s="64">
        <v>0</v>
      </c>
      <c r="G105" s="40" t="e">
        <f t="shared" si="2"/>
        <v>#DIV/0!</v>
      </c>
      <c r="H105" s="155"/>
    </row>
    <row r="106" spans="1:7" ht="20.25" customHeight="1">
      <c r="A106" s="70"/>
      <c r="B106" s="71" t="s">
        <v>1102</v>
      </c>
      <c r="C106" s="72"/>
      <c r="D106" s="73" t="s">
        <v>176</v>
      </c>
      <c r="E106" s="59">
        <f>SUM(E107,E108,E109,E110)</f>
        <v>59500</v>
      </c>
      <c r="F106" s="59">
        <f>SUM(F107,F108,F109,F110)</f>
        <v>0</v>
      </c>
      <c r="G106" s="28">
        <f t="shared" si="2"/>
        <v>0</v>
      </c>
    </row>
    <row r="107" spans="1:8" s="35" customFormat="1" ht="30" customHeight="1" hidden="1">
      <c r="A107" s="62"/>
      <c r="B107" s="63"/>
      <c r="C107" s="55" t="s">
        <v>681</v>
      </c>
      <c r="D107" s="38" t="s">
        <v>357</v>
      </c>
      <c r="E107" s="64">
        <v>0</v>
      </c>
      <c r="F107" s="64">
        <v>0</v>
      </c>
      <c r="G107" s="40" t="e">
        <f t="shared" si="2"/>
        <v>#DIV/0!</v>
      </c>
      <c r="H107" s="155"/>
    </row>
    <row r="108" spans="1:8" s="69" customFormat="1" ht="19.5" customHeight="1" hidden="1">
      <c r="A108" s="30"/>
      <c r="B108" s="36"/>
      <c r="C108" s="66" t="s">
        <v>680</v>
      </c>
      <c r="D108" s="32" t="s">
        <v>770</v>
      </c>
      <c r="E108" s="51">
        <v>0</v>
      </c>
      <c r="F108" s="51">
        <v>0</v>
      </c>
      <c r="G108" s="40" t="e">
        <f aca="true" t="shared" si="3" ref="G108:G117">F108/E108*100</f>
        <v>#DIV/0!</v>
      </c>
      <c r="H108" s="156"/>
    </row>
    <row r="109" spans="1:10" s="69" customFormat="1" ht="52.5" customHeight="1">
      <c r="A109" s="30"/>
      <c r="B109" s="36"/>
      <c r="C109" s="66" t="s">
        <v>433</v>
      </c>
      <c r="D109" s="32" t="s">
        <v>722</v>
      </c>
      <c r="E109" s="51">
        <v>59500</v>
      </c>
      <c r="F109" s="51">
        <v>0</v>
      </c>
      <c r="G109" s="40">
        <f t="shared" si="3"/>
        <v>0</v>
      </c>
      <c r="H109" s="156"/>
      <c r="I109" s="1372"/>
      <c r="J109" s="232"/>
    </row>
    <row r="110" spans="1:8" s="35" customFormat="1" ht="52.5" customHeight="1" hidden="1">
      <c r="A110" s="62"/>
      <c r="B110" s="63"/>
      <c r="C110" s="37">
        <v>6290</v>
      </c>
      <c r="D110" s="32" t="s">
        <v>551</v>
      </c>
      <c r="E110" s="64">
        <v>0</v>
      </c>
      <c r="F110" s="64">
        <v>0</v>
      </c>
      <c r="G110" s="40" t="e">
        <f t="shared" si="3"/>
        <v>#DIV/0!</v>
      </c>
      <c r="H110" s="155"/>
    </row>
    <row r="111" spans="1:7" ht="19.5" customHeight="1">
      <c r="A111" s="76" t="s">
        <v>219</v>
      </c>
      <c r="B111" s="77"/>
      <c r="C111" s="74"/>
      <c r="D111" s="78" t="s">
        <v>220</v>
      </c>
      <c r="E111" s="57">
        <f>SUM(E112,E115,E118)</f>
        <v>600000</v>
      </c>
      <c r="F111" s="57">
        <f>SUM(F112,F115,F118)</f>
        <v>287845.74</v>
      </c>
      <c r="G111" s="22">
        <f t="shared" si="3"/>
        <v>47.974289999999996</v>
      </c>
    </row>
    <row r="112" spans="1:7" ht="18.75" customHeight="1">
      <c r="A112" s="70"/>
      <c r="B112" s="71" t="s">
        <v>1310</v>
      </c>
      <c r="C112" s="71"/>
      <c r="D112" s="73" t="s">
        <v>1311</v>
      </c>
      <c r="E112" s="59">
        <f>SUM(E113,E114)</f>
        <v>0</v>
      </c>
      <c r="F112" s="59">
        <f>SUM(F113,F114)</f>
        <v>92.35</v>
      </c>
      <c r="G112" s="28" t="e">
        <f>F112/E112*100</f>
        <v>#DIV/0!</v>
      </c>
    </row>
    <row r="113" spans="1:8" s="35" customFormat="1" ht="29.25" customHeight="1" hidden="1">
      <c r="A113" s="62"/>
      <c r="B113" s="63"/>
      <c r="C113" s="63" t="s">
        <v>681</v>
      </c>
      <c r="D113" s="32" t="s">
        <v>1391</v>
      </c>
      <c r="E113" s="64">
        <v>0</v>
      </c>
      <c r="F113" s="64">
        <v>0</v>
      </c>
      <c r="G113" s="40" t="e">
        <f>F113/E113*100</f>
        <v>#DIV/0!</v>
      </c>
      <c r="H113" s="155"/>
    </row>
    <row r="114" spans="1:8" s="35" customFormat="1" ht="29.25" customHeight="1">
      <c r="A114" s="62"/>
      <c r="B114" s="63"/>
      <c r="C114" s="63" t="s">
        <v>1418</v>
      </c>
      <c r="D114" s="32" t="s">
        <v>1419</v>
      </c>
      <c r="E114" s="64">
        <v>0</v>
      </c>
      <c r="F114" s="64">
        <v>92.35</v>
      </c>
      <c r="G114" s="40" t="e">
        <f>F114/E114*100</f>
        <v>#DIV/0!</v>
      </c>
      <c r="H114" s="155"/>
    </row>
    <row r="115" spans="1:7" ht="18.75" customHeight="1" hidden="1">
      <c r="A115" s="70"/>
      <c r="B115" s="71" t="s">
        <v>222</v>
      </c>
      <c r="C115" s="71"/>
      <c r="D115" s="73" t="s">
        <v>223</v>
      </c>
      <c r="E115" s="59">
        <f>SUM(E116,E117)</f>
        <v>0</v>
      </c>
      <c r="F115" s="59">
        <f>SUM(F116,F117)</f>
        <v>0</v>
      </c>
      <c r="G115" s="28" t="e">
        <f t="shared" si="3"/>
        <v>#DIV/0!</v>
      </c>
    </row>
    <row r="116" spans="1:8" s="35" customFormat="1" ht="29.25" customHeight="1" hidden="1">
      <c r="A116" s="62"/>
      <c r="B116" s="63"/>
      <c r="C116" s="63" t="s">
        <v>681</v>
      </c>
      <c r="D116" s="32" t="s">
        <v>357</v>
      </c>
      <c r="E116" s="64">
        <v>0</v>
      </c>
      <c r="F116" s="64">
        <v>0</v>
      </c>
      <c r="G116" s="40" t="e">
        <f t="shared" si="3"/>
        <v>#DIV/0!</v>
      </c>
      <c r="H116" s="155"/>
    </row>
    <row r="117" spans="1:8" s="35" customFormat="1" ht="21.75" customHeight="1" hidden="1">
      <c r="A117" s="62"/>
      <c r="B117" s="63"/>
      <c r="C117" s="63" t="s">
        <v>680</v>
      </c>
      <c r="D117" s="32" t="s">
        <v>770</v>
      </c>
      <c r="E117" s="64">
        <v>0</v>
      </c>
      <c r="F117" s="64">
        <v>0</v>
      </c>
      <c r="G117" s="22" t="e">
        <f t="shared" si="3"/>
        <v>#DIV/0!</v>
      </c>
      <c r="H117" s="155"/>
    </row>
    <row r="118" spans="1:7" ht="19.5" customHeight="1">
      <c r="A118" s="70"/>
      <c r="B118" s="71" t="s">
        <v>215</v>
      </c>
      <c r="C118" s="71"/>
      <c r="D118" s="75" t="s">
        <v>643</v>
      </c>
      <c r="E118" s="59">
        <f>SUM(E119,E120,E121,E122)</f>
        <v>600000</v>
      </c>
      <c r="F118" s="59">
        <f>SUM(F119,F120,F121,F122)</f>
        <v>287753.39</v>
      </c>
      <c r="G118" s="28">
        <f aca="true" t="shared" si="4" ref="G118:G135">F118/E118*100</f>
        <v>47.95889833333333</v>
      </c>
    </row>
    <row r="119" spans="1:7" ht="29.25" customHeight="1" hidden="1">
      <c r="A119" s="70"/>
      <c r="B119" s="71"/>
      <c r="C119" s="63" t="s">
        <v>681</v>
      </c>
      <c r="D119" s="32" t="s">
        <v>1391</v>
      </c>
      <c r="E119" s="64">
        <v>0</v>
      </c>
      <c r="F119" s="64">
        <v>0</v>
      </c>
      <c r="G119" s="40" t="e">
        <f t="shared" si="4"/>
        <v>#DIV/0!</v>
      </c>
    </row>
    <row r="120" spans="1:8" s="35" customFormat="1" ht="19.5" customHeight="1">
      <c r="A120" s="62"/>
      <c r="B120" s="63"/>
      <c r="C120" s="63" t="s">
        <v>678</v>
      </c>
      <c r="D120" s="79" t="s">
        <v>811</v>
      </c>
      <c r="E120" s="64">
        <v>600000</v>
      </c>
      <c r="F120" s="64">
        <v>287752.77</v>
      </c>
      <c r="G120" s="40">
        <f t="shared" si="4"/>
        <v>47.958795</v>
      </c>
      <c r="H120" s="155"/>
    </row>
    <row r="121" spans="1:8" s="35" customFormat="1" ht="19.5" customHeight="1">
      <c r="A121" s="62"/>
      <c r="B121" s="63"/>
      <c r="C121" s="63" t="s">
        <v>679</v>
      </c>
      <c r="D121" s="79" t="s">
        <v>1377</v>
      </c>
      <c r="E121" s="64">
        <v>0</v>
      </c>
      <c r="F121" s="64">
        <v>0.62</v>
      </c>
      <c r="G121" s="40" t="e">
        <f t="shared" si="4"/>
        <v>#DIV/0!</v>
      </c>
      <c r="H121" s="155"/>
    </row>
    <row r="122" spans="1:8" s="35" customFormat="1" ht="19.5" customHeight="1" hidden="1">
      <c r="A122" s="62"/>
      <c r="B122" s="63"/>
      <c r="C122" s="63" t="s">
        <v>680</v>
      </c>
      <c r="D122" s="79" t="s">
        <v>770</v>
      </c>
      <c r="E122" s="64">
        <v>0</v>
      </c>
      <c r="F122" s="64">
        <v>0</v>
      </c>
      <c r="G122" s="40" t="e">
        <f t="shared" si="4"/>
        <v>#DIV/0!</v>
      </c>
      <c r="H122" s="155"/>
    </row>
    <row r="123" spans="1:8" s="45" customFormat="1" ht="19.5" customHeight="1">
      <c r="A123" s="76" t="s">
        <v>644</v>
      </c>
      <c r="B123" s="77"/>
      <c r="C123" s="77"/>
      <c r="D123" s="78" t="s">
        <v>645</v>
      </c>
      <c r="E123" s="57">
        <f>SUM(E124,E127,E145,E147,E154)</f>
        <v>7179900</v>
      </c>
      <c r="F123" s="57">
        <f>SUM(F124,F127,F145,F147,F154)</f>
        <v>639004.85</v>
      </c>
      <c r="G123" s="22">
        <f t="shared" si="4"/>
        <v>8.899912951433864</v>
      </c>
      <c r="H123" s="154"/>
    </row>
    <row r="124" spans="1:7" ht="19.5" customHeight="1">
      <c r="A124" s="70"/>
      <c r="B124" s="71" t="s">
        <v>646</v>
      </c>
      <c r="C124" s="71"/>
      <c r="D124" s="75" t="s">
        <v>652</v>
      </c>
      <c r="E124" s="59">
        <f>SUM(E125,E126)</f>
        <v>394684</v>
      </c>
      <c r="F124" s="59">
        <f>SUM(F125,F126)</f>
        <v>313070.6</v>
      </c>
      <c r="G124" s="28">
        <f t="shared" si="4"/>
        <v>79.32183721660873</v>
      </c>
    </row>
    <row r="125" spans="1:8" s="35" customFormat="1" ht="68.25" customHeight="1">
      <c r="A125" s="62"/>
      <c r="B125" s="63"/>
      <c r="C125" s="63" t="s">
        <v>449</v>
      </c>
      <c r="D125" s="38" t="s">
        <v>1376</v>
      </c>
      <c r="E125" s="64">
        <v>394529</v>
      </c>
      <c r="F125" s="64">
        <v>313052</v>
      </c>
      <c r="G125" s="40">
        <f t="shared" si="4"/>
        <v>79.34828618428557</v>
      </c>
      <c r="H125" s="155"/>
    </row>
    <row r="126" spans="1:8" s="35" customFormat="1" ht="61.5" customHeight="1">
      <c r="A126" s="62"/>
      <c r="B126" s="177"/>
      <c r="C126" s="177" t="s">
        <v>437</v>
      </c>
      <c r="D126" s="38" t="s">
        <v>457</v>
      </c>
      <c r="E126" s="182">
        <v>155</v>
      </c>
      <c r="F126" s="182">
        <v>18.6</v>
      </c>
      <c r="G126" s="40">
        <f t="shared" si="4"/>
        <v>12.000000000000002</v>
      </c>
      <c r="H126" s="155"/>
    </row>
    <row r="127" spans="1:7" ht="19.5" customHeight="1">
      <c r="A127" s="70"/>
      <c r="B127" s="161" t="s">
        <v>1</v>
      </c>
      <c r="C127" s="161"/>
      <c r="D127" s="162" t="s">
        <v>315</v>
      </c>
      <c r="E127" s="163">
        <f>SUM(E128,E129,E130,E131,E132,E133,E134,E135,E136,E137,E138,E139,E141,E143)</f>
        <v>1531551</v>
      </c>
      <c r="F127" s="163">
        <f>SUM(F128,F129,F130,F131,F132,F133,F134,F135,F136,F137,F138,F139,F141,F143)</f>
        <v>325870.97</v>
      </c>
      <c r="G127" s="54">
        <f t="shared" si="4"/>
        <v>21.277186982346652</v>
      </c>
    </row>
    <row r="128" spans="1:7" ht="55.5" customHeight="1">
      <c r="A128" s="157"/>
      <c r="B128" s="158"/>
      <c r="C128" s="158" t="s">
        <v>1421</v>
      </c>
      <c r="D128" s="196" t="s">
        <v>1422</v>
      </c>
      <c r="E128" s="160">
        <v>5000</v>
      </c>
      <c r="F128" s="64">
        <v>1025</v>
      </c>
      <c r="G128" s="34">
        <f>F128/E128*100</f>
        <v>20.5</v>
      </c>
    </row>
    <row r="129" spans="1:7" ht="28.5" customHeight="1">
      <c r="A129" s="157"/>
      <c r="B129" s="158"/>
      <c r="C129" s="158" t="s">
        <v>1417</v>
      </c>
      <c r="D129" s="196" t="s">
        <v>1420</v>
      </c>
      <c r="E129" s="160">
        <v>5000</v>
      </c>
      <c r="F129" s="64">
        <v>39524.68</v>
      </c>
      <c r="G129" s="34">
        <f>F129/E129*100</f>
        <v>790.4936</v>
      </c>
    </row>
    <row r="130" spans="1:8" s="35" customFormat="1" ht="19.5" customHeight="1">
      <c r="A130" s="157"/>
      <c r="B130" s="158"/>
      <c r="C130" s="158" t="s">
        <v>682</v>
      </c>
      <c r="D130" s="159" t="s">
        <v>767</v>
      </c>
      <c r="E130" s="160">
        <v>150000</v>
      </c>
      <c r="F130" s="64">
        <v>212740</v>
      </c>
      <c r="G130" s="34">
        <f t="shared" si="4"/>
        <v>141.82666666666665</v>
      </c>
      <c r="H130" s="155"/>
    </row>
    <row r="131" spans="1:8" s="35" customFormat="1" ht="69" customHeight="1">
      <c r="A131" s="62"/>
      <c r="B131" s="63"/>
      <c r="C131" s="55" t="s">
        <v>683</v>
      </c>
      <c r="D131" s="32" t="s">
        <v>1375</v>
      </c>
      <c r="E131" s="64">
        <v>38343</v>
      </c>
      <c r="F131" s="64">
        <v>19503.87</v>
      </c>
      <c r="G131" s="40">
        <f t="shared" si="4"/>
        <v>50.86683358109694</v>
      </c>
      <c r="H131" s="155"/>
    </row>
    <row r="132" spans="1:8" s="35" customFormat="1" ht="20.25" customHeight="1">
      <c r="A132" s="62"/>
      <c r="B132" s="63"/>
      <c r="C132" s="55" t="s">
        <v>678</v>
      </c>
      <c r="D132" s="38" t="s">
        <v>811</v>
      </c>
      <c r="E132" s="64">
        <v>10488</v>
      </c>
      <c r="F132" s="64">
        <v>13782.43</v>
      </c>
      <c r="G132" s="40">
        <f t="shared" si="4"/>
        <v>131.41142257818458</v>
      </c>
      <c r="H132" s="155"/>
    </row>
    <row r="133" spans="1:8" s="35" customFormat="1" ht="20.25" customHeight="1" hidden="1">
      <c r="A133" s="62"/>
      <c r="B133" s="63"/>
      <c r="C133" s="55" t="s">
        <v>667</v>
      </c>
      <c r="D133" s="38" t="s">
        <v>666</v>
      </c>
      <c r="E133" s="64">
        <v>0</v>
      </c>
      <c r="F133" s="64">
        <v>0</v>
      </c>
      <c r="G133" s="40" t="e">
        <f t="shared" si="4"/>
        <v>#DIV/0!</v>
      </c>
      <c r="H133" s="155"/>
    </row>
    <row r="134" spans="1:8" s="35" customFormat="1" ht="30" customHeight="1" hidden="1">
      <c r="A134" s="62"/>
      <c r="B134" s="63"/>
      <c r="C134" s="55" t="s">
        <v>692</v>
      </c>
      <c r="D134" s="38" t="s">
        <v>286</v>
      </c>
      <c r="E134" s="64">
        <v>0</v>
      </c>
      <c r="F134" s="64">
        <v>0</v>
      </c>
      <c r="G134" s="40" t="e">
        <f t="shared" si="4"/>
        <v>#DIV/0!</v>
      </c>
      <c r="H134" s="155"/>
    </row>
    <row r="135" spans="1:8" s="35" customFormat="1" ht="21" customHeight="1">
      <c r="A135" s="62"/>
      <c r="B135" s="63"/>
      <c r="C135" s="55" t="s">
        <v>679</v>
      </c>
      <c r="D135" s="32" t="s">
        <v>1377</v>
      </c>
      <c r="E135" s="64">
        <v>0</v>
      </c>
      <c r="F135" s="64">
        <v>1752.54</v>
      </c>
      <c r="G135" s="40" t="e">
        <f t="shared" si="4"/>
        <v>#DIV/0!</v>
      </c>
      <c r="H135" s="155"/>
    </row>
    <row r="136" spans="1:8" s="35" customFormat="1" ht="21" customHeight="1">
      <c r="A136" s="62"/>
      <c r="B136" s="63"/>
      <c r="C136" s="55" t="s">
        <v>1414</v>
      </c>
      <c r="D136" s="38" t="s">
        <v>1415</v>
      </c>
      <c r="E136" s="64">
        <v>5000</v>
      </c>
      <c r="F136" s="64">
        <v>35785.45</v>
      </c>
      <c r="G136" s="40">
        <f>F136/E136*100</f>
        <v>715.709</v>
      </c>
      <c r="H136" s="155"/>
    </row>
    <row r="137" spans="1:8" s="35" customFormat="1" ht="21" customHeight="1">
      <c r="A137" s="62"/>
      <c r="B137" s="63"/>
      <c r="C137" s="55" t="s">
        <v>680</v>
      </c>
      <c r="D137" s="38" t="s">
        <v>770</v>
      </c>
      <c r="E137" s="64">
        <v>5000</v>
      </c>
      <c r="F137" s="64">
        <v>1757</v>
      </c>
      <c r="G137" s="40">
        <f aca="true" t="shared" si="5" ref="G137:G180">F137/E137*100</f>
        <v>35.14</v>
      </c>
      <c r="H137" s="155"/>
    </row>
    <row r="138" spans="1:8" s="35" customFormat="1" ht="52.5" customHeight="1" hidden="1">
      <c r="A138" s="62"/>
      <c r="B138" s="63"/>
      <c r="C138" s="55" t="s">
        <v>437</v>
      </c>
      <c r="D138" s="38" t="s">
        <v>457</v>
      </c>
      <c r="E138" s="64">
        <v>0</v>
      </c>
      <c r="F138" s="64">
        <v>0</v>
      </c>
      <c r="G138" s="40" t="e">
        <f t="shared" si="5"/>
        <v>#DIV/0!</v>
      </c>
      <c r="H138" s="155"/>
    </row>
    <row r="139" spans="1:8" s="35" customFormat="1" ht="69.75" customHeight="1">
      <c r="A139" s="62"/>
      <c r="B139" s="63"/>
      <c r="C139" s="55" t="s">
        <v>1423</v>
      </c>
      <c r="D139" s="32" t="s">
        <v>1380</v>
      </c>
      <c r="E139" s="64">
        <v>229820</v>
      </c>
      <c r="F139" s="64">
        <v>0</v>
      </c>
      <c r="G139" s="40">
        <f t="shared" si="5"/>
        <v>0</v>
      </c>
      <c r="H139" s="155"/>
    </row>
    <row r="140" spans="1:8" s="35" customFormat="1" ht="36" customHeight="1">
      <c r="A140" s="62"/>
      <c r="B140" s="63"/>
      <c r="C140" s="55"/>
      <c r="D140" s="68" t="s">
        <v>108</v>
      </c>
      <c r="E140" s="64"/>
      <c r="F140" s="64"/>
      <c r="G140" s="40"/>
      <c r="H140" s="155"/>
    </row>
    <row r="141" spans="1:8" s="35" customFormat="1" ht="92.25" customHeight="1">
      <c r="A141" s="62"/>
      <c r="B141" s="63"/>
      <c r="C141" s="63" t="s">
        <v>310</v>
      </c>
      <c r="D141" s="68" t="s">
        <v>1378</v>
      </c>
      <c r="E141" s="64">
        <v>1027650</v>
      </c>
      <c r="F141" s="64">
        <v>0</v>
      </c>
      <c r="G141" s="40">
        <f t="shared" si="5"/>
        <v>0</v>
      </c>
      <c r="H141" s="155"/>
    </row>
    <row r="142" spans="1:8" s="35" customFormat="1" ht="72" customHeight="1">
      <c r="A142" s="62"/>
      <c r="B142" s="63"/>
      <c r="C142" s="55"/>
      <c r="D142" s="38" t="s">
        <v>1400</v>
      </c>
      <c r="E142" s="64"/>
      <c r="F142" s="64"/>
      <c r="G142" s="40" t="e">
        <f t="shared" si="5"/>
        <v>#DIV/0!</v>
      </c>
      <c r="H142" s="155"/>
    </row>
    <row r="143" spans="1:8" s="35" customFormat="1" ht="72" customHeight="1">
      <c r="A143" s="62"/>
      <c r="B143" s="63"/>
      <c r="C143" s="55" t="s">
        <v>299</v>
      </c>
      <c r="D143" s="32" t="s">
        <v>1398</v>
      </c>
      <c r="E143" s="64">
        <v>55250</v>
      </c>
      <c r="F143" s="64">
        <v>0</v>
      </c>
      <c r="G143" s="40">
        <f t="shared" si="5"/>
        <v>0</v>
      </c>
      <c r="H143" s="155"/>
    </row>
    <row r="144" spans="1:8" s="35" customFormat="1" ht="27" customHeight="1">
      <c r="A144" s="62"/>
      <c r="B144" s="63"/>
      <c r="C144" s="55"/>
      <c r="D144" s="68" t="s">
        <v>108</v>
      </c>
      <c r="E144" s="64"/>
      <c r="F144" s="64"/>
      <c r="G144" s="40"/>
      <c r="H144" s="155"/>
    </row>
    <row r="145" spans="1:7" ht="19.5" customHeight="1" hidden="1">
      <c r="A145" s="70"/>
      <c r="B145" s="71" t="s">
        <v>254</v>
      </c>
      <c r="C145" s="169"/>
      <c r="D145" s="73" t="s">
        <v>255</v>
      </c>
      <c r="E145" s="59">
        <f>SUM(E146)</f>
        <v>0</v>
      </c>
      <c r="F145" s="59">
        <f>SUM(F146)</f>
        <v>0</v>
      </c>
      <c r="G145" s="28" t="e">
        <f t="shared" si="5"/>
        <v>#DIV/0!</v>
      </c>
    </row>
    <row r="146" spans="1:8" s="35" customFormat="1" ht="57.75" customHeight="1" hidden="1">
      <c r="A146" s="62"/>
      <c r="B146" s="63"/>
      <c r="C146" s="63" t="s">
        <v>449</v>
      </c>
      <c r="D146" s="38" t="s">
        <v>314</v>
      </c>
      <c r="E146" s="64">
        <v>0</v>
      </c>
      <c r="F146" s="64">
        <v>0</v>
      </c>
      <c r="G146" s="28" t="e">
        <f t="shared" si="5"/>
        <v>#DIV/0!</v>
      </c>
      <c r="H146" s="155"/>
    </row>
    <row r="147" spans="1:7" ht="20.25" customHeight="1">
      <c r="A147" s="70"/>
      <c r="B147" s="71" t="s">
        <v>627</v>
      </c>
      <c r="C147" s="169"/>
      <c r="D147" s="73" t="s">
        <v>629</v>
      </c>
      <c r="E147" s="59">
        <f>SUM(E148,E149,E150,E151,E152,E153)</f>
        <v>40000</v>
      </c>
      <c r="F147" s="59">
        <f>SUM(F148,F149,F150,F151,F152,F153)</f>
        <v>63.28</v>
      </c>
      <c r="G147" s="28">
        <f t="shared" si="5"/>
        <v>0.1582</v>
      </c>
    </row>
    <row r="148" spans="1:8" s="35" customFormat="1" ht="30" customHeight="1" hidden="1">
      <c r="A148" s="62"/>
      <c r="B148" s="63"/>
      <c r="C148" s="55" t="s">
        <v>681</v>
      </c>
      <c r="D148" s="32" t="s">
        <v>357</v>
      </c>
      <c r="E148" s="64">
        <v>0</v>
      </c>
      <c r="F148" s="64">
        <v>0</v>
      </c>
      <c r="G148" s="168" t="e">
        <f t="shared" si="5"/>
        <v>#DIV/0!</v>
      </c>
      <c r="H148" s="155"/>
    </row>
    <row r="149" spans="1:8" s="35" customFormat="1" ht="26.25" customHeight="1" hidden="1">
      <c r="A149" s="62"/>
      <c r="B149" s="63"/>
      <c r="C149" s="55" t="s">
        <v>356</v>
      </c>
      <c r="D149" s="38" t="s">
        <v>355</v>
      </c>
      <c r="E149" s="64">
        <v>0</v>
      </c>
      <c r="F149" s="64">
        <v>0</v>
      </c>
      <c r="G149" s="168" t="e">
        <f t="shared" si="5"/>
        <v>#DIV/0!</v>
      </c>
      <c r="H149" s="155"/>
    </row>
    <row r="150" spans="1:8" s="35" customFormat="1" ht="20.25" customHeight="1">
      <c r="A150" s="62"/>
      <c r="B150" s="63"/>
      <c r="C150" s="55" t="s">
        <v>678</v>
      </c>
      <c r="D150" s="79" t="s">
        <v>811</v>
      </c>
      <c r="E150" s="64">
        <v>0</v>
      </c>
      <c r="F150" s="64">
        <v>61.19</v>
      </c>
      <c r="G150" s="168" t="e">
        <f t="shared" si="5"/>
        <v>#DIV/0!</v>
      </c>
      <c r="H150" s="155"/>
    </row>
    <row r="151" spans="1:8" s="35" customFormat="1" ht="20.25" customHeight="1">
      <c r="A151" s="62"/>
      <c r="B151" s="63"/>
      <c r="C151" s="55" t="s">
        <v>679</v>
      </c>
      <c r="D151" s="79" t="s">
        <v>1377</v>
      </c>
      <c r="E151" s="64">
        <v>0</v>
      </c>
      <c r="F151" s="64">
        <v>2.09</v>
      </c>
      <c r="G151" s="168" t="e">
        <f t="shared" si="5"/>
        <v>#DIV/0!</v>
      </c>
      <c r="H151" s="155"/>
    </row>
    <row r="152" spans="1:8" s="35" customFormat="1" ht="23.25" customHeight="1">
      <c r="A152" s="62"/>
      <c r="B152" s="63"/>
      <c r="C152" s="55" t="s">
        <v>680</v>
      </c>
      <c r="D152" s="38" t="s">
        <v>770</v>
      </c>
      <c r="E152" s="64">
        <v>40000</v>
      </c>
      <c r="F152" s="64">
        <v>0</v>
      </c>
      <c r="G152" s="168">
        <f t="shared" si="5"/>
        <v>0</v>
      </c>
      <c r="H152" s="155"/>
    </row>
    <row r="153" spans="1:8" s="35" customFormat="1" ht="50.25" customHeight="1" hidden="1">
      <c r="A153" s="62"/>
      <c r="B153" s="63"/>
      <c r="C153" s="55" t="s">
        <v>388</v>
      </c>
      <c r="D153" s="38" t="s">
        <v>105</v>
      </c>
      <c r="E153" s="64">
        <v>0</v>
      </c>
      <c r="F153" s="64">
        <v>0</v>
      </c>
      <c r="G153" s="168" t="e">
        <f t="shared" si="5"/>
        <v>#DIV/0!</v>
      </c>
      <c r="H153" s="155"/>
    </row>
    <row r="154" spans="1:7" ht="19.5" customHeight="1">
      <c r="A154" s="70"/>
      <c r="B154" s="71" t="s">
        <v>3</v>
      </c>
      <c r="C154" s="169"/>
      <c r="D154" s="73" t="s">
        <v>176</v>
      </c>
      <c r="E154" s="59">
        <f>SUM(E155,E156,E157,E159,E161,E163,E164,E166,E168)</f>
        <v>5213665</v>
      </c>
      <c r="F154" s="59">
        <f>SUM(F155,F156,F157,F159,F161,F163,F164,F166,F168)</f>
        <v>0</v>
      </c>
      <c r="G154" s="170">
        <f t="shared" si="5"/>
        <v>0</v>
      </c>
    </row>
    <row r="155" spans="1:7" ht="27.75" customHeight="1" hidden="1">
      <c r="A155" s="70"/>
      <c r="B155" s="71"/>
      <c r="C155" s="55" t="s">
        <v>681</v>
      </c>
      <c r="D155" s="32" t="s">
        <v>357</v>
      </c>
      <c r="E155" s="59">
        <v>0</v>
      </c>
      <c r="F155" s="59">
        <v>0</v>
      </c>
      <c r="G155" s="168" t="e">
        <f t="shared" si="5"/>
        <v>#DIV/0!</v>
      </c>
    </row>
    <row r="156" spans="1:8" s="35" customFormat="1" ht="23.25" customHeight="1" hidden="1">
      <c r="A156" s="62"/>
      <c r="B156" s="63"/>
      <c r="C156" s="55" t="s">
        <v>680</v>
      </c>
      <c r="D156" s="38" t="s">
        <v>770</v>
      </c>
      <c r="E156" s="64">
        <v>0</v>
      </c>
      <c r="F156" s="64">
        <v>0</v>
      </c>
      <c r="G156" s="168" t="e">
        <f t="shared" si="5"/>
        <v>#DIV/0!</v>
      </c>
      <c r="H156" s="155"/>
    </row>
    <row r="157" spans="1:8" s="35" customFormat="1" ht="66" customHeight="1" hidden="1">
      <c r="A157" s="62"/>
      <c r="B157" s="63"/>
      <c r="C157" s="55" t="s">
        <v>403</v>
      </c>
      <c r="D157" s="38" t="s">
        <v>477</v>
      </c>
      <c r="E157" s="64">
        <v>0</v>
      </c>
      <c r="F157" s="64">
        <v>0</v>
      </c>
      <c r="G157" s="168" t="e">
        <f t="shared" si="5"/>
        <v>#DIV/0!</v>
      </c>
      <c r="H157" s="155"/>
    </row>
    <row r="158" spans="1:8" s="35" customFormat="1" ht="30.75" customHeight="1" hidden="1">
      <c r="A158" s="62"/>
      <c r="B158" s="63"/>
      <c r="C158" s="55"/>
      <c r="D158" s="68" t="s">
        <v>108</v>
      </c>
      <c r="E158" s="64"/>
      <c r="F158" s="64"/>
      <c r="G158" s="168" t="e">
        <f t="shared" si="5"/>
        <v>#DIV/0!</v>
      </c>
      <c r="H158" s="155"/>
    </row>
    <row r="159" spans="1:8" s="35" customFormat="1" ht="94.5" customHeight="1">
      <c r="A159" s="62"/>
      <c r="B159" s="63"/>
      <c r="C159" s="55" t="s">
        <v>1029</v>
      </c>
      <c r="D159" s="38" t="s">
        <v>1416</v>
      </c>
      <c r="E159" s="64">
        <v>82200</v>
      </c>
      <c r="F159" s="64">
        <v>0</v>
      </c>
      <c r="G159" s="168">
        <f>F159/E159*100</f>
        <v>0</v>
      </c>
      <c r="H159" s="155"/>
    </row>
    <row r="160" spans="1:8" s="35" customFormat="1" ht="74.25" customHeight="1">
      <c r="A160" s="62"/>
      <c r="B160" s="63"/>
      <c r="C160" s="55"/>
      <c r="D160" s="68" t="s">
        <v>1424</v>
      </c>
      <c r="E160" s="64"/>
      <c r="F160" s="64"/>
      <c r="G160" s="168"/>
      <c r="H160" s="155"/>
    </row>
    <row r="161" spans="1:8" s="35" customFormat="1" ht="67.5" customHeight="1" hidden="1">
      <c r="A161" s="62"/>
      <c r="B161" s="63"/>
      <c r="C161" s="55" t="s">
        <v>914</v>
      </c>
      <c r="D161" s="38" t="s">
        <v>477</v>
      </c>
      <c r="E161" s="64">
        <v>0</v>
      </c>
      <c r="F161" s="64">
        <v>0</v>
      </c>
      <c r="G161" s="168" t="e">
        <f t="shared" si="5"/>
        <v>#DIV/0!</v>
      </c>
      <c r="H161" s="155"/>
    </row>
    <row r="162" spans="1:8" s="35" customFormat="1" ht="77.25" customHeight="1" hidden="1">
      <c r="A162" s="62"/>
      <c r="B162" s="63"/>
      <c r="C162" s="55"/>
      <c r="D162" s="38" t="s">
        <v>271</v>
      </c>
      <c r="E162" s="64"/>
      <c r="F162" s="64"/>
      <c r="G162" s="168" t="e">
        <f t="shared" si="5"/>
        <v>#DIV/0!</v>
      </c>
      <c r="H162" s="155"/>
    </row>
    <row r="163" spans="1:8" s="35" customFormat="1" ht="69" customHeight="1" hidden="1">
      <c r="A163" s="30"/>
      <c r="B163" s="31"/>
      <c r="C163" s="31" t="s">
        <v>1008</v>
      </c>
      <c r="D163" s="32" t="s">
        <v>1380</v>
      </c>
      <c r="E163" s="64">
        <v>0</v>
      </c>
      <c r="F163" s="64">
        <v>0</v>
      </c>
      <c r="G163" s="168" t="e">
        <f t="shared" si="5"/>
        <v>#DIV/0!</v>
      </c>
      <c r="H163" s="155"/>
    </row>
    <row r="164" spans="1:8" s="35" customFormat="1" ht="54" customHeight="1" hidden="1">
      <c r="A164" s="30"/>
      <c r="B164" s="31"/>
      <c r="C164" s="31" t="s">
        <v>872</v>
      </c>
      <c r="D164" s="32" t="s">
        <v>797</v>
      </c>
      <c r="E164" s="1474">
        <v>0</v>
      </c>
      <c r="F164" s="1474">
        <v>0</v>
      </c>
      <c r="G164" s="168" t="e">
        <f t="shared" si="5"/>
        <v>#DIV/0!</v>
      </c>
      <c r="H164" s="155"/>
    </row>
    <row r="165" spans="1:8" s="35" customFormat="1" ht="80.25" customHeight="1" hidden="1">
      <c r="A165" s="30"/>
      <c r="B165" s="31"/>
      <c r="C165" s="31"/>
      <c r="D165" s="32" t="s">
        <v>404</v>
      </c>
      <c r="E165" s="1474"/>
      <c r="F165" s="1474"/>
      <c r="G165" s="168"/>
      <c r="H165" s="155"/>
    </row>
    <row r="166" spans="1:8" s="35" customFormat="1" ht="94.5" customHeight="1">
      <c r="A166" s="62"/>
      <c r="B166" s="63"/>
      <c r="C166" s="55" t="s">
        <v>296</v>
      </c>
      <c r="D166" s="68" t="s">
        <v>1378</v>
      </c>
      <c r="E166" s="64">
        <v>4765065</v>
      </c>
      <c r="F166" s="64">
        <v>0</v>
      </c>
      <c r="G166" s="168">
        <f t="shared" si="5"/>
        <v>0</v>
      </c>
      <c r="H166" s="155"/>
    </row>
    <row r="167" spans="1:8" s="35" customFormat="1" ht="30.75" customHeight="1">
      <c r="A167" s="62"/>
      <c r="B167" s="63"/>
      <c r="C167" s="55"/>
      <c r="D167" s="68" t="s">
        <v>108</v>
      </c>
      <c r="E167" s="64"/>
      <c r="F167" s="64"/>
      <c r="G167" s="168"/>
      <c r="H167" s="155"/>
    </row>
    <row r="168" spans="1:8" s="35" customFormat="1" ht="80.25" customHeight="1">
      <c r="A168" s="62"/>
      <c r="B168" s="63"/>
      <c r="C168" s="55" t="s">
        <v>1180</v>
      </c>
      <c r="D168" s="68" t="s">
        <v>1181</v>
      </c>
      <c r="E168" s="64">
        <v>366400</v>
      </c>
      <c r="F168" s="64">
        <v>0</v>
      </c>
      <c r="G168" s="168">
        <f t="shared" si="5"/>
        <v>0</v>
      </c>
      <c r="H168" s="155"/>
    </row>
    <row r="169" spans="1:8" s="45" customFormat="1" ht="42" customHeight="1">
      <c r="A169" s="172" t="s">
        <v>819</v>
      </c>
      <c r="B169" s="77"/>
      <c r="C169" s="173"/>
      <c r="D169" s="174" t="s">
        <v>4</v>
      </c>
      <c r="E169" s="57">
        <f>SUM(E170,E174,E172,E176,E178)</f>
        <v>8280</v>
      </c>
      <c r="F169" s="57">
        <f>SUM(F170,F174,F172,F176,F178)</f>
        <v>4140</v>
      </c>
      <c r="G169" s="171">
        <f t="shared" si="5"/>
        <v>50</v>
      </c>
      <c r="H169" s="154"/>
    </row>
    <row r="170" spans="1:7" ht="29.25" customHeight="1">
      <c r="A170" s="70"/>
      <c r="B170" s="71" t="s">
        <v>777</v>
      </c>
      <c r="C170" s="72"/>
      <c r="D170" s="73" t="s">
        <v>778</v>
      </c>
      <c r="E170" s="59">
        <f>E171</f>
        <v>8280</v>
      </c>
      <c r="F170" s="59">
        <f>F171</f>
        <v>4140</v>
      </c>
      <c r="G170" s="170">
        <f t="shared" si="5"/>
        <v>50</v>
      </c>
    </row>
    <row r="171" spans="1:8" s="35" customFormat="1" ht="67.5" customHeight="1">
      <c r="A171" s="62"/>
      <c r="B171" s="63"/>
      <c r="C171" s="37">
        <v>2010</v>
      </c>
      <c r="D171" s="38" t="s">
        <v>1376</v>
      </c>
      <c r="E171" s="64">
        <v>8280</v>
      </c>
      <c r="F171" s="64">
        <v>4140</v>
      </c>
      <c r="G171" s="168">
        <f t="shared" si="5"/>
        <v>50</v>
      </c>
      <c r="H171" s="155"/>
    </row>
    <row r="172" spans="1:8" s="35" customFormat="1" ht="18.75" customHeight="1" hidden="1">
      <c r="A172" s="70"/>
      <c r="B172" s="71" t="s">
        <v>405</v>
      </c>
      <c r="C172" s="72"/>
      <c r="D172" s="73" t="s">
        <v>1264</v>
      </c>
      <c r="E172" s="59">
        <f>E173</f>
        <v>0</v>
      </c>
      <c r="F172" s="59">
        <f>F173</f>
        <v>0</v>
      </c>
      <c r="G172" s="170" t="e">
        <f>F172/E172*100</f>
        <v>#DIV/0!</v>
      </c>
      <c r="H172" s="155"/>
    </row>
    <row r="173" spans="1:8" s="35" customFormat="1" ht="56.25" customHeight="1" hidden="1">
      <c r="A173" s="62"/>
      <c r="B173" s="63"/>
      <c r="C173" s="37">
        <v>2010</v>
      </c>
      <c r="D173" s="38" t="s">
        <v>314</v>
      </c>
      <c r="E173" s="64">
        <v>0</v>
      </c>
      <c r="F173" s="64">
        <v>0</v>
      </c>
      <c r="G173" s="168" t="e">
        <f>F173/E173*100</f>
        <v>#DIV/0!</v>
      </c>
      <c r="H173" s="155"/>
    </row>
    <row r="174" spans="1:8" s="35" customFormat="1" ht="18.75" customHeight="1" hidden="1">
      <c r="A174" s="70"/>
      <c r="B174" s="71" t="s">
        <v>1032</v>
      </c>
      <c r="C174" s="72"/>
      <c r="D174" s="73" t="s">
        <v>1033</v>
      </c>
      <c r="E174" s="59">
        <f>E175</f>
        <v>0</v>
      </c>
      <c r="F174" s="59">
        <f>F175</f>
        <v>0</v>
      </c>
      <c r="G174" s="170" t="e">
        <f t="shared" si="5"/>
        <v>#DIV/0!</v>
      </c>
      <c r="H174" s="155"/>
    </row>
    <row r="175" spans="1:8" s="35" customFormat="1" ht="56.25" customHeight="1" hidden="1">
      <c r="A175" s="62"/>
      <c r="B175" s="63"/>
      <c r="C175" s="37">
        <v>2010</v>
      </c>
      <c r="D175" s="38" t="s">
        <v>314</v>
      </c>
      <c r="E175" s="64">
        <v>0</v>
      </c>
      <c r="F175" s="64">
        <v>0</v>
      </c>
      <c r="G175" s="168" t="e">
        <f t="shared" si="5"/>
        <v>#DIV/0!</v>
      </c>
      <c r="H175" s="155"/>
    </row>
    <row r="176" spans="1:8" s="35" customFormat="1" ht="51.75" customHeight="1" hidden="1">
      <c r="A176" s="70"/>
      <c r="B176" s="71" t="s">
        <v>256</v>
      </c>
      <c r="C176" s="72"/>
      <c r="D176" s="73" t="s">
        <v>257</v>
      </c>
      <c r="E176" s="59">
        <f>E177</f>
        <v>0</v>
      </c>
      <c r="F176" s="59">
        <f>F177</f>
        <v>0</v>
      </c>
      <c r="G176" s="170" t="e">
        <f>F176/E176*100</f>
        <v>#DIV/0!</v>
      </c>
      <c r="H176" s="155"/>
    </row>
    <row r="177" spans="1:8" s="35" customFormat="1" ht="56.25" customHeight="1" hidden="1">
      <c r="A177" s="62"/>
      <c r="B177" s="63"/>
      <c r="C177" s="37">
        <v>2010</v>
      </c>
      <c r="D177" s="38" t="s">
        <v>314</v>
      </c>
      <c r="E177" s="64">
        <v>0</v>
      </c>
      <c r="F177" s="64">
        <v>0</v>
      </c>
      <c r="G177" s="168" t="e">
        <f>F177/E177*100</f>
        <v>#DIV/0!</v>
      </c>
      <c r="H177" s="155"/>
    </row>
    <row r="178" spans="1:7" ht="21.75" customHeight="1" hidden="1">
      <c r="A178" s="70"/>
      <c r="B178" s="71" t="s">
        <v>1176</v>
      </c>
      <c r="C178" s="72"/>
      <c r="D178" s="73" t="s">
        <v>1177</v>
      </c>
      <c r="E178" s="59">
        <f>SUM(E179)</f>
        <v>0</v>
      </c>
      <c r="F178" s="59">
        <f>SUM(F179)</f>
        <v>0</v>
      </c>
      <c r="G178" s="170" t="e">
        <f>F178/E178*100</f>
        <v>#DIV/0!</v>
      </c>
    </row>
    <row r="179" spans="1:8" s="35" customFormat="1" ht="56.25" customHeight="1" hidden="1">
      <c r="A179" s="62"/>
      <c r="B179" s="63"/>
      <c r="C179" s="37">
        <v>2010</v>
      </c>
      <c r="D179" s="38" t="s">
        <v>314</v>
      </c>
      <c r="E179" s="64">
        <v>0</v>
      </c>
      <c r="F179" s="64">
        <v>0</v>
      </c>
      <c r="G179" s="168" t="e">
        <f>F179/E179*100</f>
        <v>#DIV/0!</v>
      </c>
      <c r="H179" s="155"/>
    </row>
    <row r="180" spans="1:7" ht="29.25" customHeight="1">
      <c r="A180" s="76" t="s">
        <v>5</v>
      </c>
      <c r="B180" s="77"/>
      <c r="C180" s="74"/>
      <c r="D180" s="174" t="s">
        <v>84</v>
      </c>
      <c r="E180" s="57">
        <f>SUM(E181,E197,E199,E202)</f>
        <v>150000</v>
      </c>
      <c r="F180" s="57">
        <f>SUM(F181,F197,F199,F202)</f>
        <v>80274.7</v>
      </c>
      <c r="G180" s="22">
        <f t="shared" si="5"/>
        <v>53.51646666666666</v>
      </c>
    </row>
    <row r="181" spans="1:7" ht="20.25" customHeight="1" hidden="1">
      <c r="A181" s="70"/>
      <c r="B181" s="71" t="s">
        <v>1110</v>
      </c>
      <c r="C181" s="74"/>
      <c r="D181" s="73" t="s">
        <v>1111</v>
      </c>
      <c r="E181" s="59">
        <f>SUM(E182,E183,E184,E185,E186,E187,E189,E190,E192,E193,E195)</f>
        <v>0</v>
      </c>
      <c r="F181" s="59">
        <f>SUM(F182,F183,F184,F185,F186,F187,F189,F190,F192,F193,F195)</f>
        <v>0</v>
      </c>
      <c r="G181" s="28" t="e">
        <f>F181/E181*100</f>
        <v>#DIV/0!</v>
      </c>
    </row>
    <row r="182" spans="1:8" s="35" customFormat="1" ht="29.25" customHeight="1" hidden="1">
      <c r="A182" s="62"/>
      <c r="B182" s="63"/>
      <c r="C182" s="63" t="s">
        <v>681</v>
      </c>
      <c r="D182" s="32" t="s">
        <v>1391</v>
      </c>
      <c r="E182" s="64">
        <v>0</v>
      </c>
      <c r="F182" s="64">
        <v>0</v>
      </c>
      <c r="G182" s="40" t="e">
        <f>F182/E182*100</f>
        <v>#DIV/0!</v>
      </c>
      <c r="H182" s="155"/>
    </row>
    <row r="183" spans="1:7" ht="27.75" customHeight="1" hidden="1">
      <c r="A183" s="30"/>
      <c r="B183" s="31"/>
      <c r="C183" s="31" t="s">
        <v>356</v>
      </c>
      <c r="D183" s="32" t="s">
        <v>355</v>
      </c>
      <c r="E183" s="33">
        <v>0</v>
      </c>
      <c r="F183" s="51">
        <v>0</v>
      </c>
      <c r="G183" s="34" t="e">
        <f aca="true" t="shared" si="6" ref="G183:G188">F183/E183*100</f>
        <v>#DIV/0!</v>
      </c>
    </row>
    <row r="184" spans="1:7" ht="21" customHeight="1" hidden="1">
      <c r="A184" s="30"/>
      <c r="B184" s="31"/>
      <c r="C184" s="31" t="s">
        <v>667</v>
      </c>
      <c r="D184" s="32" t="s">
        <v>666</v>
      </c>
      <c r="E184" s="51">
        <v>0</v>
      </c>
      <c r="F184" s="51">
        <v>0</v>
      </c>
      <c r="G184" s="34" t="e">
        <f t="shared" si="6"/>
        <v>#DIV/0!</v>
      </c>
    </row>
    <row r="185" spans="1:7" ht="30" customHeight="1" hidden="1">
      <c r="A185" s="30"/>
      <c r="B185" s="31"/>
      <c r="C185" s="31" t="s">
        <v>300</v>
      </c>
      <c r="D185" s="38" t="s">
        <v>301</v>
      </c>
      <c r="E185" s="51">
        <v>0</v>
      </c>
      <c r="F185" s="51">
        <v>0</v>
      </c>
      <c r="G185" s="34" t="e">
        <f t="shared" si="6"/>
        <v>#DIV/0!</v>
      </c>
    </row>
    <row r="186" spans="1:8" s="35" customFormat="1" ht="21.75" customHeight="1" hidden="1">
      <c r="A186" s="175"/>
      <c r="B186" s="176"/>
      <c r="C186" s="63" t="s">
        <v>680</v>
      </c>
      <c r="D186" s="38" t="s">
        <v>770</v>
      </c>
      <c r="E186" s="64">
        <v>0</v>
      </c>
      <c r="F186" s="64">
        <v>0</v>
      </c>
      <c r="G186" s="34" t="e">
        <f t="shared" si="6"/>
        <v>#DIV/0!</v>
      </c>
      <c r="H186" s="155"/>
    </row>
    <row r="187" spans="1:8" s="35" customFormat="1" ht="70.5" customHeight="1" hidden="1">
      <c r="A187" s="175"/>
      <c r="B187" s="176"/>
      <c r="C187" s="55" t="s">
        <v>403</v>
      </c>
      <c r="D187" s="38" t="s">
        <v>477</v>
      </c>
      <c r="E187" s="64">
        <v>0</v>
      </c>
      <c r="F187" s="64">
        <v>0</v>
      </c>
      <c r="G187" s="34" t="e">
        <f t="shared" si="6"/>
        <v>#DIV/0!</v>
      </c>
      <c r="H187" s="155"/>
    </row>
    <row r="188" spans="1:8" s="35" customFormat="1" ht="27" customHeight="1" hidden="1">
      <c r="A188" s="175"/>
      <c r="B188" s="176"/>
      <c r="C188" s="63"/>
      <c r="D188" s="68" t="s">
        <v>108</v>
      </c>
      <c r="E188" s="64"/>
      <c r="F188" s="64"/>
      <c r="G188" s="34" t="e">
        <f t="shared" si="6"/>
        <v>#DIV/0!</v>
      </c>
      <c r="H188" s="155"/>
    </row>
    <row r="189" spans="1:8" s="35" customFormat="1" ht="39.75" customHeight="1" hidden="1">
      <c r="A189" s="30"/>
      <c r="B189" s="31"/>
      <c r="C189" s="31" t="s">
        <v>1007</v>
      </c>
      <c r="D189" s="32" t="s">
        <v>100</v>
      </c>
      <c r="E189" s="33">
        <v>0</v>
      </c>
      <c r="F189" s="33">
        <v>0</v>
      </c>
      <c r="G189" s="34" t="e">
        <f>F189/E189*100</f>
        <v>#DIV/0!</v>
      </c>
      <c r="H189" s="155"/>
    </row>
    <row r="190" spans="1:8" s="35" customFormat="1" ht="90.75" customHeight="1" hidden="1">
      <c r="A190" s="175"/>
      <c r="B190" s="176"/>
      <c r="C190" s="63" t="s">
        <v>296</v>
      </c>
      <c r="D190" s="68" t="s">
        <v>1378</v>
      </c>
      <c r="E190" s="64">
        <v>0</v>
      </c>
      <c r="F190" s="64">
        <v>0</v>
      </c>
      <c r="G190" s="40" t="e">
        <f>F190/E190*100</f>
        <v>#DIV/0!</v>
      </c>
      <c r="H190" s="155"/>
    </row>
    <row r="191" spans="1:8" s="35" customFormat="1" ht="24" customHeight="1" hidden="1">
      <c r="A191" s="175"/>
      <c r="B191" s="176"/>
      <c r="C191" s="63"/>
      <c r="D191" s="68" t="s">
        <v>108</v>
      </c>
      <c r="E191" s="64"/>
      <c r="F191" s="64"/>
      <c r="G191" s="40"/>
      <c r="H191" s="155"/>
    </row>
    <row r="192" spans="1:8" s="35" customFormat="1" ht="54" customHeight="1" hidden="1">
      <c r="A192" s="175"/>
      <c r="B192" s="176"/>
      <c r="C192" s="63" t="s">
        <v>436</v>
      </c>
      <c r="D192" s="32" t="s">
        <v>551</v>
      </c>
      <c r="E192" s="64">
        <v>0</v>
      </c>
      <c r="F192" s="64">
        <v>0</v>
      </c>
      <c r="G192" s="40" t="e">
        <f>F192/E192*100</f>
        <v>#DIV/0!</v>
      </c>
      <c r="H192" s="155"/>
    </row>
    <row r="193" spans="1:8" s="35" customFormat="1" ht="56.25" customHeight="1" hidden="1">
      <c r="A193" s="175"/>
      <c r="B193" s="176"/>
      <c r="C193" s="63" t="s">
        <v>299</v>
      </c>
      <c r="D193" s="32" t="s">
        <v>551</v>
      </c>
      <c r="E193" s="64">
        <v>0</v>
      </c>
      <c r="F193" s="64">
        <v>0</v>
      </c>
      <c r="G193" s="40" t="e">
        <f>F193/E193*100</f>
        <v>#DIV/0!</v>
      </c>
      <c r="H193" s="155"/>
    </row>
    <row r="194" spans="1:8" s="35" customFormat="1" ht="27.75" customHeight="1" hidden="1">
      <c r="A194" s="175"/>
      <c r="B194" s="176"/>
      <c r="C194" s="63"/>
      <c r="D194" s="68" t="s">
        <v>108</v>
      </c>
      <c r="E194" s="64"/>
      <c r="F194" s="64"/>
      <c r="G194" s="40"/>
      <c r="H194" s="155"/>
    </row>
    <row r="195" spans="1:8" s="35" customFormat="1" ht="56.25" customHeight="1" hidden="1">
      <c r="A195" s="175"/>
      <c r="B195" s="176"/>
      <c r="C195" s="63" t="s">
        <v>346</v>
      </c>
      <c r="D195" s="32" t="s">
        <v>551</v>
      </c>
      <c r="E195" s="64">
        <v>0</v>
      </c>
      <c r="F195" s="64">
        <v>0</v>
      </c>
      <c r="G195" s="40" t="e">
        <f>F195/E195*100</f>
        <v>#DIV/0!</v>
      </c>
      <c r="H195" s="155"/>
    </row>
    <row r="196" spans="1:8" s="35" customFormat="1" ht="65.25" customHeight="1" hidden="1">
      <c r="A196" s="175"/>
      <c r="B196" s="176"/>
      <c r="C196" s="63"/>
      <c r="D196" s="38" t="s">
        <v>1272</v>
      </c>
      <c r="E196" s="64"/>
      <c r="F196" s="64"/>
      <c r="G196" s="40"/>
      <c r="H196" s="155"/>
    </row>
    <row r="197" spans="1:7" ht="17.25" customHeight="1" hidden="1">
      <c r="A197" s="70"/>
      <c r="B197" s="71" t="s">
        <v>7</v>
      </c>
      <c r="C197" s="74"/>
      <c r="D197" s="75" t="s">
        <v>8</v>
      </c>
      <c r="E197" s="59">
        <f>SUM(E198)</f>
        <v>0</v>
      </c>
      <c r="F197" s="59">
        <f>SUM(F198)</f>
        <v>0</v>
      </c>
      <c r="G197" s="28" t="e">
        <f aca="true" t="shared" si="7" ref="G197:G206">F197/E197*100</f>
        <v>#DIV/0!</v>
      </c>
    </row>
    <row r="198" spans="1:8" s="35" customFormat="1" ht="57.75" customHeight="1" hidden="1">
      <c r="A198" s="62"/>
      <c r="B198" s="63"/>
      <c r="C198" s="37">
        <v>2010</v>
      </c>
      <c r="D198" s="38" t="s">
        <v>314</v>
      </c>
      <c r="E198" s="64">
        <v>0</v>
      </c>
      <c r="F198" s="64">
        <v>0</v>
      </c>
      <c r="G198" s="40" t="e">
        <f t="shared" si="7"/>
        <v>#DIV/0!</v>
      </c>
      <c r="H198" s="155"/>
    </row>
    <row r="199" spans="1:7" ht="20.25" customHeight="1" hidden="1">
      <c r="A199" s="70"/>
      <c r="B199" s="71" t="s">
        <v>366</v>
      </c>
      <c r="C199" s="72"/>
      <c r="D199" s="73" t="s">
        <v>615</v>
      </c>
      <c r="E199" s="59">
        <f>SUM(E200,E201)</f>
        <v>0</v>
      </c>
      <c r="F199" s="59">
        <f>SUM(F200,F201)</f>
        <v>0</v>
      </c>
      <c r="G199" s="28" t="e">
        <f t="shared" si="7"/>
        <v>#DIV/0!</v>
      </c>
    </row>
    <row r="200" spans="1:8" s="35" customFormat="1" ht="67.5" customHeight="1" hidden="1">
      <c r="A200" s="30"/>
      <c r="B200" s="31"/>
      <c r="C200" s="31" t="s">
        <v>409</v>
      </c>
      <c r="D200" s="68" t="s">
        <v>410</v>
      </c>
      <c r="E200" s="51">
        <v>0</v>
      </c>
      <c r="F200" s="51">
        <v>0</v>
      </c>
      <c r="G200" s="40" t="e">
        <f t="shared" si="7"/>
        <v>#DIV/0!</v>
      </c>
      <c r="H200" s="155"/>
    </row>
    <row r="201" spans="1:8" s="35" customFormat="1" ht="67.5" customHeight="1" hidden="1">
      <c r="A201" s="30"/>
      <c r="B201" s="31"/>
      <c r="C201" s="31" t="s">
        <v>961</v>
      </c>
      <c r="D201" s="68" t="s">
        <v>1175</v>
      </c>
      <c r="E201" s="51">
        <v>0</v>
      </c>
      <c r="F201" s="51">
        <v>0</v>
      </c>
      <c r="G201" s="40" t="e">
        <f t="shared" si="7"/>
        <v>#DIV/0!</v>
      </c>
      <c r="H201" s="155"/>
    </row>
    <row r="202" spans="1:7" ht="18" customHeight="1">
      <c r="A202" s="70"/>
      <c r="B202" s="71" t="s">
        <v>330</v>
      </c>
      <c r="C202" s="72"/>
      <c r="D202" s="73" t="s">
        <v>109</v>
      </c>
      <c r="E202" s="59">
        <f>SUM(E203,E204,E205,E206)</f>
        <v>150000</v>
      </c>
      <c r="F202" s="59">
        <f>SUM(F203,F204,F205,F206)</f>
        <v>80274.7</v>
      </c>
      <c r="G202" s="28">
        <f t="shared" si="7"/>
        <v>53.51646666666666</v>
      </c>
    </row>
    <row r="203" spans="1:8" s="35" customFormat="1" ht="29.25" customHeight="1">
      <c r="A203" s="62"/>
      <c r="B203" s="63"/>
      <c r="C203" s="63" t="s">
        <v>681</v>
      </c>
      <c r="D203" s="32" t="s">
        <v>1391</v>
      </c>
      <c r="E203" s="64">
        <v>150000</v>
      </c>
      <c r="F203" s="64">
        <v>78917.5</v>
      </c>
      <c r="G203" s="40">
        <f>F203/E203*100</f>
        <v>52.611666666666665</v>
      </c>
      <c r="H203" s="155"/>
    </row>
    <row r="204" spans="1:7" ht="28.5" customHeight="1">
      <c r="A204" s="157"/>
      <c r="B204" s="158"/>
      <c r="C204" s="158" t="s">
        <v>1417</v>
      </c>
      <c r="D204" s="196" t="s">
        <v>1420</v>
      </c>
      <c r="E204" s="160">
        <v>0</v>
      </c>
      <c r="F204" s="64">
        <v>1357.2</v>
      </c>
      <c r="G204" s="34" t="e">
        <f>F204/E204*100</f>
        <v>#DIV/0!</v>
      </c>
    </row>
    <row r="205" spans="1:8" s="35" customFormat="1" ht="22.5" customHeight="1" hidden="1">
      <c r="A205" s="62"/>
      <c r="B205" s="63"/>
      <c r="C205" s="55" t="s">
        <v>682</v>
      </c>
      <c r="D205" s="159" t="s">
        <v>767</v>
      </c>
      <c r="E205" s="64">
        <v>0</v>
      </c>
      <c r="F205" s="64">
        <v>0</v>
      </c>
      <c r="G205" s="40" t="e">
        <f t="shared" si="7"/>
        <v>#DIV/0!</v>
      </c>
      <c r="H205" s="155"/>
    </row>
    <row r="206" spans="1:8" s="35" customFormat="1" ht="21" customHeight="1" hidden="1">
      <c r="A206" s="62"/>
      <c r="B206" s="63"/>
      <c r="C206" s="55" t="s">
        <v>679</v>
      </c>
      <c r="D206" s="38" t="s">
        <v>771</v>
      </c>
      <c r="E206" s="64">
        <v>0</v>
      </c>
      <c r="F206" s="64">
        <v>0</v>
      </c>
      <c r="G206" s="40" t="e">
        <f t="shared" si="7"/>
        <v>#DIV/0!</v>
      </c>
      <c r="H206" s="155"/>
    </row>
    <row r="207" spans="1:8" s="35" customFormat="1" ht="21" customHeight="1" hidden="1">
      <c r="A207" s="70"/>
      <c r="B207" s="71" t="s">
        <v>1112</v>
      </c>
      <c r="C207" s="72"/>
      <c r="D207" s="73" t="s">
        <v>176</v>
      </c>
      <c r="E207" s="59">
        <f>SUM(E208,E209,E210)</f>
        <v>0</v>
      </c>
      <c r="F207" s="59">
        <f>SUM(F208,F209,F210)</f>
        <v>0</v>
      </c>
      <c r="G207" s="28" t="e">
        <f aca="true" t="shared" si="8" ref="G207:G214">F207/E207*100</f>
        <v>#DIV/0!</v>
      </c>
      <c r="H207" s="154"/>
    </row>
    <row r="208" spans="1:8" s="35" customFormat="1" ht="22.5" customHeight="1" hidden="1">
      <c r="A208" s="62"/>
      <c r="B208" s="63"/>
      <c r="C208" s="55" t="s">
        <v>680</v>
      </c>
      <c r="D208" s="38" t="s">
        <v>770</v>
      </c>
      <c r="E208" s="64">
        <v>0</v>
      </c>
      <c r="F208" s="64">
        <v>0</v>
      </c>
      <c r="G208" s="40" t="e">
        <f t="shared" si="8"/>
        <v>#DIV/0!</v>
      </c>
      <c r="H208" s="155"/>
    </row>
    <row r="209" spans="1:8" s="35" customFormat="1" ht="51.75" customHeight="1" hidden="1">
      <c r="A209" s="62"/>
      <c r="B209" s="63"/>
      <c r="C209" s="55" t="s">
        <v>1007</v>
      </c>
      <c r="D209" s="38" t="s">
        <v>100</v>
      </c>
      <c r="E209" s="64">
        <v>0</v>
      </c>
      <c r="F209" s="64">
        <v>0</v>
      </c>
      <c r="G209" s="40" t="e">
        <f t="shared" si="8"/>
        <v>#DIV/0!</v>
      </c>
      <c r="H209" s="155"/>
    </row>
    <row r="210" spans="1:8" s="35" customFormat="1" ht="54" customHeight="1" hidden="1">
      <c r="A210" s="62"/>
      <c r="B210" s="63"/>
      <c r="C210" s="55" t="s">
        <v>1008</v>
      </c>
      <c r="D210" s="38" t="s">
        <v>101</v>
      </c>
      <c r="E210" s="64">
        <v>0</v>
      </c>
      <c r="F210" s="64">
        <v>0</v>
      </c>
      <c r="G210" s="40" t="e">
        <f t="shared" si="8"/>
        <v>#DIV/0!</v>
      </c>
      <c r="H210" s="155"/>
    </row>
    <row r="211" spans="1:8" s="45" customFormat="1" ht="69" customHeight="1">
      <c r="A211" s="172" t="s">
        <v>242</v>
      </c>
      <c r="B211" s="77"/>
      <c r="C211" s="77"/>
      <c r="D211" s="174" t="s">
        <v>370</v>
      </c>
      <c r="E211" s="57">
        <f>SUM(E212,E215,E226,E241,E253,E256,E259)</f>
        <v>128736330</v>
      </c>
      <c r="F211" s="57">
        <f>SUM(F212,F215,F226,F241,F253,F256,F259)</f>
        <v>64253119.250000015</v>
      </c>
      <c r="G211" s="22">
        <f t="shared" si="8"/>
        <v>49.91063458931912</v>
      </c>
      <c r="H211" s="154"/>
    </row>
    <row r="212" spans="1:7" ht="19.5" customHeight="1">
      <c r="A212" s="70"/>
      <c r="B212" s="71" t="s">
        <v>779</v>
      </c>
      <c r="C212" s="71"/>
      <c r="D212" s="75" t="s">
        <v>780</v>
      </c>
      <c r="E212" s="59">
        <f>E213+E214</f>
        <v>500000</v>
      </c>
      <c r="F212" s="59">
        <f>F213+F214</f>
        <v>141595.75</v>
      </c>
      <c r="G212" s="28">
        <f t="shared" si="8"/>
        <v>28.319149999999997</v>
      </c>
    </row>
    <row r="213" spans="1:8" s="35" customFormat="1" ht="43.5" customHeight="1">
      <c r="A213" s="62"/>
      <c r="B213" s="63"/>
      <c r="C213" s="63" t="s">
        <v>691</v>
      </c>
      <c r="D213" s="38" t="s">
        <v>1381</v>
      </c>
      <c r="E213" s="64">
        <v>500000</v>
      </c>
      <c r="F213" s="51">
        <v>139235.93</v>
      </c>
      <c r="G213" s="40">
        <f t="shared" si="8"/>
        <v>27.847185999999997</v>
      </c>
      <c r="H213" s="155"/>
    </row>
    <row r="214" spans="1:8" s="35" customFormat="1" ht="29.25" customHeight="1">
      <c r="A214" s="62"/>
      <c r="B214" s="63"/>
      <c r="C214" s="55" t="s">
        <v>692</v>
      </c>
      <c r="D214" s="38" t="s">
        <v>1319</v>
      </c>
      <c r="E214" s="64">
        <v>0</v>
      </c>
      <c r="F214" s="51">
        <v>2359.82</v>
      </c>
      <c r="G214" s="40" t="e">
        <f t="shared" si="8"/>
        <v>#DIV/0!</v>
      </c>
      <c r="H214" s="155"/>
    </row>
    <row r="215" spans="1:7" ht="57.75" customHeight="1">
      <c r="A215" s="70"/>
      <c r="B215" s="169" t="s">
        <v>471</v>
      </c>
      <c r="C215" s="71"/>
      <c r="D215" s="73" t="s">
        <v>367</v>
      </c>
      <c r="E215" s="59">
        <f>SUM(E216,E217,E218,E219,E220,E221,E222,E223,E224,E225)</f>
        <v>66966000</v>
      </c>
      <c r="F215" s="59">
        <f>SUM(F216,F217,F218,F219,F220,F221,F222,F223,F224,F225)</f>
        <v>34259968.68000001</v>
      </c>
      <c r="G215" s="28">
        <f aca="true" t="shared" si="9" ref="G215:G223">F215/E215*100</f>
        <v>51.16024352656573</v>
      </c>
    </row>
    <row r="216" spans="1:8" s="35" customFormat="1" ht="19.5" customHeight="1">
      <c r="A216" s="62"/>
      <c r="B216" s="63"/>
      <c r="C216" s="63" t="s">
        <v>693</v>
      </c>
      <c r="D216" s="79" t="s">
        <v>1382</v>
      </c>
      <c r="E216" s="64">
        <v>66100000</v>
      </c>
      <c r="F216" s="64">
        <v>33755252.49</v>
      </c>
      <c r="G216" s="40">
        <f t="shared" si="9"/>
        <v>51.06694779122542</v>
      </c>
      <c r="H216" s="155"/>
    </row>
    <row r="217" spans="1:8" s="35" customFormat="1" ht="19.5" customHeight="1">
      <c r="A217" s="62"/>
      <c r="B217" s="63"/>
      <c r="C217" s="63" t="s">
        <v>694</v>
      </c>
      <c r="D217" s="79" t="s">
        <v>1383</v>
      </c>
      <c r="E217" s="64">
        <v>12000</v>
      </c>
      <c r="F217" s="64">
        <v>3333.5</v>
      </c>
      <c r="G217" s="40">
        <f t="shared" si="9"/>
        <v>27.779166666666665</v>
      </c>
      <c r="H217" s="155"/>
    </row>
    <row r="218" spans="1:8" s="35" customFormat="1" ht="19.5" customHeight="1">
      <c r="A218" s="62"/>
      <c r="B218" s="63"/>
      <c r="C218" s="63" t="s">
        <v>695</v>
      </c>
      <c r="D218" s="79" t="s">
        <v>1384</v>
      </c>
      <c r="E218" s="64">
        <v>150000</v>
      </c>
      <c r="F218" s="64">
        <v>77380</v>
      </c>
      <c r="G218" s="40">
        <f t="shared" si="9"/>
        <v>51.58666666666667</v>
      </c>
      <c r="H218" s="155"/>
    </row>
    <row r="219" spans="1:8" s="35" customFormat="1" ht="19.5" customHeight="1">
      <c r="A219" s="62"/>
      <c r="B219" s="63"/>
      <c r="C219" s="63" t="s">
        <v>400</v>
      </c>
      <c r="D219" s="79" t="s">
        <v>1385</v>
      </c>
      <c r="E219" s="64">
        <v>350000</v>
      </c>
      <c r="F219" s="64">
        <v>179059.74</v>
      </c>
      <c r="G219" s="40">
        <f t="shared" si="9"/>
        <v>51.15992571428571</v>
      </c>
      <c r="H219" s="155"/>
    </row>
    <row r="220" spans="1:8" s="35" customFormat="1" ht="19.5" customHeight="1">
      <c r="A220" s="62"/>
      <c r="B220" s="63"/>
      <c r="C220" s="63" t="s">
        <v>401</v>
      </c>
      <c r="D220" s="79" t="s">
        <v>1386</v>
      </c>
      <c r="E220" s="64">
        <v>50000</v>
      </c>
      <c r="F220" s="64">
        <v>71745.39</v>
      </c>
      <c r="G220" s="40">
        <f t="shared" si="9"/>
        <v>143.49078</v>
      </c>
      <c r="H220" s="155"/>
    </row>
    <row r="221" spans="1:8" s="35" customFormat="1" ht="19.5" customHeight="1">
      <c r="A221" s="62"/>
      <c r="B221" s="63"/>
      <c r="C221" s="63" t="s">
        <v>630</v>
      </c>
      <c r="D221" s="79" t="s">
        <v>1387</v>
      </c>
      <c r="E221" s="64">
        <v>0</v>
      </c>
      <c r="F221" s="64">
        <v>11355.2</v>
      </c>
      <c r="G221" s="40" t="e">
        <f t="shared" si="9"/>
        <v>#DIV/0!</v>
      </c>
      <c r="H221" s="155"/>
    </row>
    <row r="222" spans="1:8" s="35" customFormat="1" ht="32.25" customHeight="1">
      <c r="A222" s="62"/>
      <c r="B222" s="63"/>
      <c r="C222" s="63" t="s">
        <v>1417</v>
      </c>
      <c r="D222" s="196" t="s">
        <v>1420</v>
      </c>
      <c r="E222" s="64">
        <v>1000</v>
      </c>
      <c r="F222" s="64">
        <v>893.2</v>
      </c>
      <c r="G222" s="40">
        <f t="shared" si="9"/>
        <v>89.32</v>
      </c>
      <c r="H222" s="155"/>
    </row>
    <row r="223" spans="1:7" ht="22.5" customHeight="1" hidden="1">
      <c r="A223" s="62"/>
      <c r="B223" s="63"/>
      <c r="C223" s="63" t="s">
        <v>682</v>
      </c>
      <c r="D223" s="79" t="s">
        <v>767</v>
      </c>
      <c r="E223" s="64">
        <v>0</v>
      </c>
      <c r="F223" s="64">
        <v>0</v>
      </c>
      <c r="G223" s="40" t="e">
        <f t="shared" si="9"/>
        <v>#DIV/0!</v>
      </c>
    </row>
    <row r="224" spans="1:8" s="35" customFormat="1" ht="28.5" customHeight="1">
      <c r="A224" s="62"/>
      <c r="B224" s="63"/>
      <c r="C224" s="63" t="s">
        <v>692</v>
      </c>
      <c r="D224" s="38" t="s">
        <v>1319</v>
      </c>
      <c r="E224" s="64">
        <v>40000</v>
      </c>
      <c r="F224" s="64">
        <v>31819.16</v>
      </c>
      <c r="G224" s="40">
        <f aca="true" t="shared" si="10" ref="G224:G239">F224/E224*100</f>
        <v>79.5479</v>
      </c>
      <c r="H224" s="155"/>
    </row>
    <row r="225" spans="1:8" s="35" customFormat="1" ht="28.5" customHeight="1">
      <c r="A225" s="62"/>
      <c r="B225" s="63"/>
      <c r="C225" s="63" t="s">
        <v>383</v>
      </c>
      <c r="D225" s="38" t="s">
        <v>384</v>
      </c>
      <c r="E225" s="64">
        <v>263000</v>
      </c>
      <c r="F225" s="64">
        <v>129130</v>
      </c>
      <c r="G225" s="40">
        <f t="shared" si="10"/>
        <v>49.09885931558936</v>
      </c>
      <c r="H225" s="155"/>
    </row>
    <row r="226" spans="1:7" ht="56.25" customHeight="1">
      <c r="A226" s="70"/>
      <c r="B226" s="71" t="s">
        <v>669</v>
      </c>
      <c r="C226" s="71"/>
      <c r="D226" s="73" t="s">
        <v>670</v>
      </c>
      <c r="E226" s="59">
        <f>SUM(E227,E228,E229,E230,E231,E232,E233,E234,E235,E236,E237,E238,E239,E240)</f>
        <v>19265600</v>
      </c>
      <c r="F226" s="59">
        <f>SUM(F227,F228,F229,F230,F231,F232,F233,F234,F235,F236,F237,F238,F239,F240)</f>
        <v>10652440.81</v>
      </c>
      <c r="G226" s="28">
        <f t="shared" si="10"/>
        <v>55.292546352047175</v>
      </c>
    </row>
    <row r="227" spans="1:8" s="35" customFormat="1" ht="21" customHeight="1">
      <c r="A227" s="62"/>
      <c r="B227" s="63"/>
      <c r="C227" s="63" t="s">
        <v>693</v>
      </c>
      <c r="D227" s="79" t="s">
        <v>1382</v>
      </c>
      <c r="E227" s="64">
        <v>7200000</v>
      </c>
      <c r="F227" s="64">
        <v>4792683.71</v>
      </c>
      <c r="G227" s="40">
        <f t="shared" si="10"/>
        <v>66.56505152777777</v>
      </c>
      <c r="H227" s="155"/>
    </row>
    <row r="228" spans="1:8" s="35" customFormat="1" ht="21" customHeight="1">
      <c r="A228" s="62"/>
      <c r="B228" s="63"/>
      <c r="C228" s="63" t="s">
        <v>694</v>
      </c>
      <c r="D228" s="79" t="s">
        <v>1383</v>
      </c>
      <c r="E228" s="64">
        <v>50000</v>
      </c>
      <c r="F228" s="64">
        <v>28342.47</v>
      </c>
      <c r="G228" s="40">
        <f t="shared" si="10"/>
        <v>56.684940000000005</v>
      </c>
      <c r="H228" s="155"/>
    </row>
    <row r="229" spans="1:8" s="35" customFormat="1" ht="21" customHeight="1">
      <c r="A229" s="62"/>
      <c r="B229" s="63"/>
      <c r="C229" s="63" t="s">
        <v>695</v>
      </c>
      <c r="D229" s="79" t="s">
        <v>1384</v>
      </c>
      <c r="E229" s="64">
        <v>600</v>
      </c>
      <c r="F229" s="64">
        <v>496.33</v>
      </c>
      <c r="G229" s="40">
        <f t="shared" si="10"/>
        <v>82.72166666666666</v>
      </c>
      <c r="H229" s="155"/>
    </row>
    <row r="230" spans="1:8" s="35" customFormat="1" ht="21" customHeight="1">
      <c r="A230" s="62"/>
      <c r="B230" s="63"/>
      <c r="C230" s="63" t="s">
        <v>400</v>
      </c>
      <c r="D230" s="79" t="s">
        <v>1385</v>
      </c>
      <c r="E230" s="64">
        <v>200000</v>
      </c>
      <c r="F230" s="64">
        <v>86649.39</v>
      </c>
      <c r="G230" s="40">
        <f t="shared" si="10"/>
        <v>43.324695000000006</v>
      </c>
      <c r="H230" s="155"/>
    </row>
    <row r="231" spans="1:8" s="35" customFormat="1" ht="21" customHeight="1">
      <c r="A231" s="62"/>
      <c r="B231" s="63"/>
      <c r="C231" s="63" t="s">
        <v>402</v>
      </c>
      <c r="D231" s="79" t="s">
        <v>1388</v>
      </c>
      <c r="E231" s="64">
        <v>200000</v>
      </c>
      <c r="F231" s="51">
        <v>142732.26</v>
      </c>
      <c r="G231" s="40">
        <f t="shared" si="10"/>
        <v>71.36613</v>
      </c>
      <c r="H231" s="155"/>
    </row>
    <row r="232" spans="1:8" s="35" customFormat="1" ht="21" customHeight="1">
      <c r="A232" s="62"/>
      <c r="B232" s="63"/>
      <c r="C232" s="63" t="s">
        <v>406</v>
      </c>
      <c r="D232" s="79" t="s">
        <v>1389</v>
      </c>
      <c r="E232" s="64">
        <v>80000</v>
      </c>
      <c r="F232" s="51">
        <v>61229.55</v>
      </c>
      <c r="G232" s="40">
        <f t="shared" si="10"/>
        <v>76.53693750000001</v>
      </c>
      <c r="H232" s="155"/>
    </row>
    <row r="233" spans="1:8" s="35" customFormat="1" ht="39" customHeight="1">
      <c r="A233" s="62"/>
      <c r="B233" s="63"/>
      <c r="C233" s="63" t="s">
        <v>358</v>
      </c>
      <c r="D233" s="38" t="s">
        <v>291</v>
      </c>
      <c r="E233" s="64">
        <v>7000000</v>
      </c>
      <c r="F233" s="64">
        <v>2721442.51</v>
      </c>
      <c r="G233" s="40">
        <f t="shared" si="10"/>
        <v>38.87775014285714</v>
      </c>
      <c r="H233" s="155"/>
    </row>
    <row r="234" spans="1:8" s="35" customFormat="1" ht="21" customHeight="1">
      <c r="A234" s="62"/>
      <c r="B234" s="63"/>
      <c r="C234" s="63" t="s">
        <v>422</v>
      </c>
      <c r="D234" s="79" t="s">
        <v>782</v>
      </c>
      <c r="E234" s="64">
        <v>600000</v>
      </c>
      <c r="F234" s="64">
        <v>272572</v>
      </c>
      <c r="G234" s="40">
        <f t="shared" si="10"/>
        <v>45.428666666666665</v>
      </c>
      <c r="H234" s="155"/>
    </row>
    <row r="235" spans="1:8" s="35" customFormat="1" ht="21" customHeight="1">
      <c r="A235" s="62"/>
      <c r="B235" s="63"/>
      <c r="C235" s="63" t="s">
        <v>401</v>
      </c>
      <c r="D235" s="79" t="s">
        <v>1386</v>
      </c>
      <c r="E235" s="64">
        <v>3900000</v>
      </c>
      <c r="F235" s="51">
        <v>2509287.81</v>
      </c>
      <c r="G235" s="40">
        <f t="shared" si="10"/>
        <v>64.34071307692307</v>
      </c>
      <c r="H235" s="155"/>
    </row>
    <row r="236" spans="1:8" s="35" customFormat="1" ht="30" customHeight="1">
      <c r="A236" s="62"/>
      <c r="B236" s="63"/>
      <c r="C236" s="177" t="s">
        <v>630</v>
      </c>
      <c r="D236" s="38" t="s">
        <v>1387</v>
      </c>
      <c r="E236" s="64">
        <v>0</v>
      </c>
      <c r="F236" s="64">
        <v>1181.9</v>
      </c>
      <c r="G236" s="40" t="e">
        <f t="shared" si="10"/>
        <v>#DIV/0!</v>
      </c>
      <c r="H236" s="155"/>
    </row>
    <row r="237" spans="1:8" s="35" customFormat="1" ht="33" customHeight="1">
      <c r="A237" s="62"/>
      <c r="B237" s="63"/>
      <c r="C237" s="177" t="s">
        <v>1417</v>
      </c>
      <c r="D237" s="196" t="s">
        <v>1420</v>
      </c>
      <c r="E237" s="64">
        <v>15000</v>
      </c>
      <c r="F237" s="64">
        <v>11542.33</v>
      </c>
      <c r="G237" s="40">
        <f t="shared" si="10"/>
        <v>76.94886666666667</v>
      </c>
      <c r="H237" s="155"/>
    </row>
    <row r="238" spans="1:8" s="35" customFormat="1" ht="21" customHeight="1" hidden="1">
      <c r="A238" s="62"/>
      <c r="B238" s="63"/>
      <c r="C238" s="177" t="s">
        <v>682</v>
      </c>
      <c r="D238" s="79" t="s">
        <v>767</v>
      </c>
      <c r="E238" s="64">
        <v>0</v>
      </c>
      <c r="F238" s="64">
        <v>0</v>
      </c>
      <c r="G238" s="40" t="e">
        <f t="shared" si="10"/>
        <v>#DIV/0!</v>
      </c>
      <c r="H238" s="155"/>
    </row>
    <row r="239" spans="1:8" s="35" customFormat="1" ht="27.75" customHeight="1" hidden="1">
      <c r="A239" s="62"/>
      <c r="B239" s="63"/>
      <c r="C239" s="63" t="s">
        <v>765</v>
      </c>
      <c r="D239" s="38" t="s">
        <v>491</v>
      </c>
      <c r="E239" s="64">
        <v>0</v>
      </c>
      <c r="F239" s="51">
        <v>0</v>
      </c>
      <c r="G239" s="40" t="e">
        <f t="shared" si="10"/>
        <v>#DIV/0!</v>
      </c>
      <c r="H239" s="155"/>
    </row>
    <row r="240" spans="1:8" s="35" customFormat="1" ht="28.5" customHeight="1">
      <c r="A240" s="62"/>
      <c r="B240" s="63"/>
      <c r="C240" s="63" t="s">
        <v>692</v>
      </c>
      <c r="D240" s="38" t="s">
        <v>1319</v>
      </c>
      <c r="E240" s="64">
        <v>20000</v>
      </c>
      <c r="F240" s="64">
        <v>24280.55</v>
      </c>
      <c r="G240" s="40">
        <f aca="true" t="shared" si="11" ref="G240:G255">F240/E240*100</f>
        <v>121.40275</v>
      </c>
      <c r="H240" s="155"/>
    </row>
    <row r="241" spans="1:7" ht="41.25" customHeight="1">
      <c r="A241" s="70"/>
      <c r="B241" s="71" t="s">
        <v>783</v>
      </c>
      <c r="C241" s="71"/>
      <c r="D241" s="73" t="s">
        <v>322</v>
      </c>
      <c r="E241" s="59">
        <f>SUM(E242,E243,E244,E245,E246,E247,E248,E249,E250,E251,E252)</f>
        <v>3048000</v>
      </c>
      <c r="F241" s="59">
        <f>SUM(F242,F243,F244,F245,F246,F247,F248,F249,F250,F251,F252)</f>
        <v>2454029.42</v>
      </c>
      <c r="G241" s="28">
        <f t="shared" si="11"/>
        <v>80.51277624671916</v>
      </c>
    </row>
    <row r="242" spans="1:8" s="35" customFormat="1" ht="19.5" customHeight="1">
      <c r="A242" s="62"/>
      <c r="B242" s="63"/>
      <c r="C242" s="63" t="s">
        <v>423</v>
      </c>
      <c r="D242" s="79" t="s">
        <v>792</v>
      </c>
      <c r="E242" s="64">
        <v>300000</v>
      </c>
      <c r="F242" s="64">
        <v>210886.24</v>
      </c>
      <c r="G242" s="40">
        <f t="shared" si="11"/>
        <v>70.29541333333333</v>
      </c>
      <c r="H242" s="155"/>
    </row>
    <row r="243" spans="1:8" s="35" customFormat="1" ht="19.5" customHeight="1">
      <c r="A243" s="62"/>
      <c r="B243" s="63"/>
      <c r="C243" s="63" t="s">
        <v>425</v>
      </c>
      <c r="D243" s="79" t="s">
        <v>321</v>
      </c>
      <c r="E243" s="64">
        <v>5000</v>
      </c>
      <c r="F243" s="64">
        <v>2483.46</v>
      </c>
      <c r="G243" s="40">
        <f t="shared" si="11"/>
        <v>49.669200000000004</v>
      </c>
      <c r="H243" s="155"/>
    </row>
    <row r="244" spans="1:8" s="35" customFormat="1" ht="27" customHeight="1">
      <c r="A244" s="62"/>
      <c r="B244" s="63"/>
      <c r="C244" s="63" t="s">
        <v>426</v>
      </c>
      <c r="D244" s="38" t="s">
        <v>96</v>
      </c>
      <c r="E244" s="64">
        <v>2000000</v>
      </c>
      <c r="F244" s="64">
        <v>1611275.73</v>
      </c>
      <c r="G244" s="40">
        <f t="shared" si="11"/>
        <v>80.5637865</v>
      </c>
      <c r="H244" s="155"/>
    </row>
    <row r="245" spans="1:8" s="35" customFormat="1" ht="46.5" customHeight="1">
      <c r="A245" s="62"/>
      <c r="B245" s="63"/>
      <c r="C245" s="63" t="s">
        <v>688</v>
      </c>
      <c r="D245" s="38" t="s">
        <v>945</v>
      </c>
      <c r="E245" s="64">
        <v>737000</v>
      </c>
      <c r="F245" s="64">
        <v>621183.58</v>
      </c>
      <c r="G245" s="40">
        <f t="shared" si="11"/>
        <v>84.28542469470827</v>
      </c>
      <c r="H245" s="155"/>
    </row>
    <row r="246" spans="1:8" s="35" customFormat="1" ht="29.25" customHeight="1">
      <c r="A246" s="62"/>
      <c r="B246" s="63"/>
      <c r="C246" s="63" t="s">
        <v>681</v>
      </c>
      <c r="D246" s="32" t="s">
        <v>1391</v>
      </c>
      <c r="E246" s="64">
        <v>0</v>
      </c>
      <c r="F246" s="64">
        <v>1591.7</v>
      </c>
      <c r="G246" s="40" t="e">
        <f t="shared" si="11"/>
        <v>#DIV/0!</v>
      </c>
      <c r="H246" s="155"/>
    </row>
    <row r="247" spans="1:8" s="35" customFormat="1" ht="29.25" customHeight="1" hidden="1">
      <c r="A247" s="62"/>
      <c r="B247" s="63"/>
      <c r="C247" s="63" t="s">
        <v>356</v>
      </c>
      <c r="D247" s="38" t="s">
        <v>355</v>
      </c>
      <c r="E247" s="64">
        <v>0</v>
      </c>
      <c r="F247" s="64">
        <v>0</v>
      </c>
      <c r="G247" s="40" t="e">
        <f>F247/E247*100</f>
        <v>#DIV/0!</v>
      </c>
      <c r="H247" s="155"/>
    </row>
    <row r="248" spans="1:8" s="35" customFormat="1" ht="19.5" customHeight="1">
      <c r="A248" s="62"/>
      <c r="B248" s="63"/>
      <c r="C248" s="55" t="s">
        <v>427</v>
      </c>
      <c r="D248" s="38" t="s">
        <v>316</v>
      </c>
      <c r="E248" s="64">
        <v>6000</v>
      </c>
      <c r="F248" s="64">
        <v>4705</v>
      </c>
      <c r="G248" s="40">
        <f t="shared" si="11"/>
        <v>78.41666666666667</v>
      </c>
      <c r="H248" s="155"/>
    </row>
    <row r="249" spans="1:8" s="35" customFormat="1" ht="32.25" customHeight="1">
      <c r="A249" s="62"/>
      <c r="B249" s="63"/>
      <c r="C249" s="55" t="s">
        <v>1417</v>
      </c>
      <c r="D249" s="196" t="s">
        <v>1420</v>
      </c>
      <c r="E249" s="64">
        <v>0</v>
      </c>
      <c r="F249" s="64">
        <v>440.8</v>
      </c>
      <c r="G249" s="40" t="e">
        <f t="shared" si="11"/>
        <v>#DIV/0!</v>
      </c>
      <c r="H249" s="155"/>
    </row>
    <row r="250" spans="1:8" s="35" customFormat="1" ht="19.5" customHeight="1" hidden="1">
      <c r="A250" s="62"/>
      <c r="B250" s="63"/>
      <c r="C250" s="55" t="s">
        <v>682</v>
      </c>
      <c r="D250" s="38" t="s">
        <v>767</v>
      </c>
      <c r="E250" s="64">
        <v>0</v>
      </c>
      <c r="F250" s="64">
        <v>0</v>
      </c>
      <c r="G250" s="40" t="e">
        <f t="shared" si="11"/>
        <v>#DIV/0!</v>
      </c>
      <c r="H250" s="155"/>
    </row>
    <row r="251" spans="1:8" s="35" customFormat="1" ht="27.75" customHeight="1" hidden="1">
      <c r="A251" s="62"/>
      <c r="B251" s="63"/>
      <c r="C251" s="55" t="s">
        <v>692</v>
      </c>
      <c r="D251" s="38" t="s">
        <v>286</v>
      </c>
      <c r="E251" s="64">
        <v>0</v>
      </c>
      <c r="F251" s="64">
        <v>0</v>
      </c>
      <c r="G251" s="40" t="e">
        <f t="shared" si="11"/>
        <v>#DIV/0!</v>
      </c>
      <c r="H251" s="155"/>
    </row>
    <row r="252" spans="1:8" s="180" customFormat="1" ht="19.5" customHeight="1">
      <c r="A252" s="157"/>
      <c r="B252" s="158"/>
      <c r="C252" s="178" t="s">
        <v>679</v>
      </c>
      <c r="D252" s="32" t="s">
        <v>1377</v>
      </c>
      <c r="E252" s="160">
        <v>0</v>
      </c>
      <c r="F252" s="160">
        <v>1462.91</v>
      </c>
      <c r="G252" s="34" t="e">
        <f t="shared" si="11"/>
        <v>#DIV/0!</v>
      </c>
      <c r="H252" s="179"/>
    </row>
    <row r="253" spans="1:7" ht="21" customHeight="1">
      <c r="A253" s="70"/>
      <c r="B253" s="71" t="s">
        <v>1312</v>
      </c>
      <c r="C253" s="71"/>
      <c r="D253" s="73" t="s">
        <v>1313</v>
      </c>
      <c r="E253" s="59">
        <f>SUM(E254,E255)</f>
        <v>0</v>
      </c>
      <c r="F253" s="59">
        <f>SUM(F254,F255)</f>
        <v>2729.82</v>
      </c>
      <c r="G253" s="28" t="e">
        <f t="shared" si="11"/>
        <v>#DIV/0!</v>
      </c>
    </row>
    <row r="254" spans="1:7" ht="21" customHeight="1">
      <c r="A254" s="70"/>
      <c r="B254" s="71"/>
      <c r="C254" s="63" t="s">
        <v>1414</v>
      </c>
      <c r="D254" s="38" t="s">
        <v>1415</v>
      </c>
      <c r="E254" s="64">
        <v>0</v>
      </c>
      <c r="F254" s="51">
        <v>2729.82</v>
      </c>
      <c r="G254" s="40" t="e">
        <f>F254/E254*100</f>
        <v>#DIV/0!</v>
      </c>
    </row>
    <row r="255" spans="1:8" s="35" customFormat="1" ht="19.5" customHeight="1" hidden="1">
      <c r="A255" s="62"/>
      <c r="B255" s="63"/>
      <c r="C255" s="63" t="s">
        <v>680</v>
      </c>
      <c r="D255" s="38" t="s">
        <v>770</v>
      </c>
      <c r="E255" s="64">
        <v>0</v>
      </c>
      <c r="F255" s="51">
        <v>0</v>
      </c>
      <c r="G255" s="40" t="e">
        <f t="shared" si="11"/>
        <v>#DIV/0!</v>
      </c>
      <c r="H255" s="155"/>
    </row>
    <row r="256" spans="1:7" ht="30" customHeight="1">
      <c r="A256" s="70"/>
      <c r="B256" s="71" t="s">
        <v>793</v>
      </c>
      <c r="C256" s="71"/>
      <c r="D256" s="73" t="s">
        <v>794</v>
      </c>
      <c r="E256" s="59">
        <f>E257+E258</f>
        <v>38456730</v>
      </c>
      <c r="F256" s="59">
        <f>F257+F258</f>
        <v>16742354.77</v>
      </c>
      <c r="G256" s="28">
        <f aca="true" t="shared" si="12" ref="G256:G270">F256/E256*100</f>
        <v>43.5355652183636</v>
      </c>
    </row>
    <row r="257" spans="1:8" s="35" customFormat="1" ht="19.5" customHeight="1">
      <c r="A257" s="62"/>
      <c r="B257" s="63"/>
      <c r="C257" s="63" t="s">
        <v>428</v>
      </c>
      <c r="D257" s="79" t="s">
        <v>780</v>
      </c>
      <c r="E257" s="64">
        <v>36756730</v>
      </c>
      <c r="F257" s="51">
        <v>16774113</v>
      </c>
      <c r="G257" s="40">
        <f t="shared" si="12"/>
        <v>45.63548770524473</v>
      </c>
      <c r="H257" s="155"/>
    </row>
    <row r="258" spans="1:8" s="35" customFormat="1" ht="19.5" customHeight="1">
      <c r="A258" s="62"/>
      <c r="B258" s="63"/>
      <c r="C258" s="63" t="s">
        <v>429</v>
      </c>
      <c r="D258" s="79" t="s">
        <v>1390</v>
      </c>
      <c r="E258" s="64">
        <v>1700000</v>
      </c>
      <c r="F258" s="51">
        <v>-31758.23</v>
      </c>
      <c r="G258" s="40">
        <f t="shared" si="12"/>
        <v>-1.8681311764705881</v>
      </c>
      <c r="H258" s="155"/>
    </row>
    <row r="259" spans="1:7" ht="21.75" customHeight="1">
      <c r="A259" s="70"/>
      <c r="B259" s="71" t="s">
        <v>1178</v>
      </c>
      <c r="C259" s="71"/>
      <c r="D259" s="73" t="s">
        <v>1182</v>
      </c>
      <c r="E259" s="59">
        <f>SUM(E260)</f>
        <v>500000</v>
      </c>
      <c r="F259" s="59">
        <f>SUM(F260)</f>
        <v>0</v>
      </c>
      <c r="G259" s="28">
        <f>F259/E259*100</f>
        <v>0</v>
      </c>
    </row>
    <row r="260" spans="1:8" s="35" customFormat="1" ht="19.5" customHeight="1">
      <c r="A260" s="62"/>
      <c r="B260" s="63"/>
      <c r="C260" s="63" t="s">
        <v>1179</v>
      </c>
      <c r="D260" s="79" t="s">
        <v>1183</v>
      </c>
      <c r="E260" s="64">
        <v>500000</v>
      </c>
      <c r="F260" s="51">
        <v>0</v>
      </c>
      <c r="G260" s="40">
        <f>F260/E260*100</f>
        <v>0</v>
      </c>
      <c r="H260" s="155"/>
    </row>
    <row r="261" spans="1:8" s="45" customFormat="1" ht="19.5" customHeight="1">
      <c r="A261" s="76" t="s">
        <v>10</v>
      </c>
      <c r="B261" s="77"/>
      <c r="C261" s="77"/>
      <c r="D261" s="78" t="s">
        <v>11</v>
      </c>
      <c r="E261" s="57">
        <f>SUM(E262,E264,E266)</f>
        <v>26521764</v>
      </c>
      <c r="F261" s="57">
        <f>SUM(F262,F264,F266)</f>
        <v>13235594.22</v>
      </c>
      <c r="G261" s="22">
        <f t="shared" si="12"/>
        <v>49.9046527221945</v>
      </c>
      <c r="H261" s="154"/>
    </row>
    <row r="262" spans="1:7" ht="30.75" customHeight="1">
      <c r="A262" s="70"/>
      <c r="B262" s="71" t="s">
        <v>802</v>
      </c>
      <c r="C262" s="71"/>
      <c r="D262" s="73" t="s">
        <v>804</v>
      </c>
      <c r="E262" s="59">
        <f>E263</f>
        <v>20347764</v>
      </c>
      <c r="F262" s="59">
        <f>F263</f>
        <v>12521704</v>
      </c>
      <c r="G262" s="28">
        <f t="shared" si="12"/>
        <v>61.53847666013819</v>
      </c>
    </row>
    <row r="263" spans="1:8" s="45" customFormat="1" ht="19.5" customHeight="1">
      <c r="A263" s="76"/>
      <c r="B263" s="77"/>
      <c r="C263" s="63" t="s">
        <v>430</v>
      </c>
      <c r="D263" s="38" t="s">
        <v>318</v>
      </c>
      <c r="E263" s="64">
        <v>20347764</v>
      </c>
      <c r="F263" s="64">
        <v>12521704</v>
      </c>
      <c r="G263" s="40">
        <f t="shared" si="12"/>
        <v>61.53847666013819</v>
      </c>
      <c r="H263" s="154"/>
    </row>
    <row r="264" spans="1:7" ht="30.75" customHeight="1" hidden="1">
      <c r="A264" s="70"/>
      <c r="B264" s="71" t="s">
        <v>806</v>
      </c>
      <c r="C264" s="71"/>
      <c r="D264" s="73" t="s">
        <v>501</v>
      </c>
      <c r="E264" s="59">
        <f>E265</f>
        <v>0</v>
      </c>
      <c r="F264" s="59">
        <f>F265</f>
        <v>0</v>
      </c>
      <c r="G264" s="28" t="s">
        <v>799</v>
      </c>
    </row>
    <row r="265" spans="1:8" s="45" customFormat="1" ht="19.5" customHeight="1" hidden="1">
      <c r="A265" s="76"/>
      <c r="B265" s="77"/>
      <c r="C265" s="63" t="s">
        <v>502</v>
      </c>
      <c r="D265" s="38" t="s">
        <v>166</v>
      </c>
      <c r="E265" s="64">
        <v>0</v>
      </c>
      <c r="F265" s="64">
        <v>0</v>
      </c>
      <c r="G265" s="40" t="s">
        <v>799</v>
      </c>
      <c r="H265" s="154"/>
    </row>
    <row r="266" spans="1:7" ht="19.5" customHeight="1">
      <c r="A266" s="70"/>
      <c r="B266" s="71" t="s">
        <v>807</v>
      </c>
      <c r="C266" s="71"/>
      <c r="D266" s="75" t="s">
        <v>808</v>
      </c>
      <c r="E266" s="59">
        <f>SUM(E268,E269,E270,E271,E272,E273,E274,E275,E276,E277,E278,E279)</f>
        <v>6174000</v>
      </c>
      <c r="F266" s="59">
        <f>SUM(F268,F269,F270,F271,F272,F273,F274,F275,F276,F277,F278,F279)</f>
        <v>713890.22</v>
      </c>
      <c r="G266" s="28">
        <f t="shared" si="12"/>
        <v>11.562847748623259</v>
      </c>
    </row>
    <row r="267" spans="1:8" s="35" customFormat="1" ht="30" customHeight="1" hidden="1">
      <c r="A267" s="62"/>
      <c r="B267" s="63"/>
      <c r="C267" s="63" t="s">
        <v>356</v>
      </c>
      <c r="D267" s="38" t="s">
        <v>355</v>
      </c>
      <c r="E267" s="64">
        <v>0</v>
      </c>
      <c r="F267" s="64">
        <v>0</v>
      </c>
      <c r="G267" s="28" t="e">
        <f t="shared" si="12"/>
        <v>#DIV/0!</v>
      </c>
      <c r="H267" s="155"/>
    </row>
    <row r="268" spans="1:8" s="35" customFormat="1" ht="18.75" customHeight="1" hidden="1">
      <c r="A268" s="62"/>
      <c r="B268" s="63"/>
      <c r="C268" s="63" t="s">
        <v>682</v>
      </c>
      <c r="D268" s="38" t="s">
        <v>767</v>
      </c>
      <c r="E268" s="64">
        <v>0</v>
      </c>
      <c r="F268" s="64">
        <v>0</v>
      </c>
      <c r="G268" s="28" t="e">
        <f t="shared" si="12"/>
        <v>#DIV/0!</v>
      </c>
      <c r="H268" s="155"/>
    </row>
    <row r="269" spans="1:8" s="35" customFormat="1" ht="18.75" customHeight="1" hidden="1">
      <c r="A269" s="62"/>
      <c r="B269" s="63"/>
      <c r="C269" s="63" t="s">
        <v>678</v>
      </c>
      <c r="D269" s="38" t="s">
        <v>811</v>
      </c>
      <c r="E269" s="64">
        <v>0</v>
      </c>
      <c r="F269" s="64">
        <v>0</v>
      </c>
      <c r="G269" s="28" t="e">
        <f t="shared" si="12"/>
        <v>#DIV/0!</v>
      </c>
      <c r="H269" s="155"/>
    </row>
    <row r="270" spans="1:8" s="35" customFormat="1" ht="18.75" customHeight="1" hidden="1">
      <c r="A270" s="62"/>
      <c r="B270" s="63"/>
      <c r="C270" s="63" t="s">
        <v>667</v>
      </c>
      <c r="D270" s="32" t="s">
        <v>666</v>
      </c>
      <c r="E270" s="64">
        <v>0</v>
      </c>
      <c r="F270" s="64">
        <v>0</v>
      </c>
      <c r="G270" s="28" t="e">
        <f t="shared" si="12"/>
        <v>#DIV/0!</v>
      </c>
      <c r="H270" s="155"/>
    </row>
    <row r="271" spans="1:8" s="35" customFormat="1" ht="18.75" customHeight="1">
      <c r="A271" s="62"/>
      <c r="B271" s="63"/>
      <c r="C271" s="63" t="s">
        <v>679</v>
      </c>
      <c r="D271" s="32" t="s">
        <v>1377</v>
      </c>
      <c r="E271" s="64">
        <v>50000</v>
      </c>
      <c r="F271" s="64">
        <v>485123.36</v>
      </c>
      <c r="G271" s="40">
        <f aca="true" t="shared" si="13" ref="G271:G279">F271/E271*100</f>
        <v>970.2467199999999</v>
      </c>
      <c r="H271" s="155"/>
    </row>
    <row r="272" spans="1:8" s="35" customFormat="1" ht="26.25" customHeight="1" hidden="1">
      <c r="A272" s="62"/>
      <c r="B272" s="63"/>
      <c r="C272" s="63" t="s">
        <v>300</v>
      </c>
      <c r="D272" s="181" t="s">
        <v>301</v>
      </c>
      <c r="E272" s="64">
        <v>0</v>
      </c>
      <c r="F272" s="64">
        <v>0</v>
      </c>
      <c r="G272" s="40" t="e">
        <f t="shared" si="13"/>
        <v>#DIV/0!</v>
      </c>
      <c r="H272" s="155"/>
    </row>
    <row r="273" spans="1:8" s="35" customFormat="1" ht="26.25" customHeight="1">
      <c r="A273" s="62"/>
      <c r="B273" s="63"/>
      <c r="C273" s="55" t="s">
        <v>1414</v>
      </c>
      <c r="D273" s="38" t="s">
        <v>1415</v>
      </c>
      <c r="E273" s="64">
        <v>0</v>
      </c>
      <c r="F273" s="64">
        <v>228766.86</v>
      </c>
      <c r="G273" s="40" t="e">
        <f>F273/E273*100</f>
        <v>#DIV/0!</v>
      </c>
      <c r="H273" s="155"/>
    </row>
    <row r="274" spans="1:8" s="35" customFormat="1" ht="18" customHeight="1" hidden="1">
      <c r="A274" s="62"/>
      <c r="B274" s="63"/>
      <c r="C274" s="55" t="s">
        <v>680</v>
      </c>
      <c r="D274" s="38" t="s">
        <v>770</v>
      </c>
      <c r="E274" s="64">
        <v>0</v>
      </c>
      <c r="F274" s="64">
        <v>0</v>
      </c>
      <c r="G274" s="40" t="e">
        <f t="shared" si="13"/>
        <v>#DIV/0!</v>
      </c>
      <c r="H274" s="155"/>
    </row>
    <row r="275" spans="1:8" s="35" customFormat="1" ht="41.25" customHeight="1" hidden="1">
      <c r="A275" s="62"/>
      <c r="B275" s="63"/>
      <c r="C275" s="55" t="s">
        <v>434</v>
      </c>
      <c r="D275" s="38" t="s">
        <v>320</v>
      </c>
      <c r="E275" s="64">
        <v>0</v>
      </c>
      <c r="F275" s="64">
        <v>0</v>
      </c>
      <c r="G275" s="40" t="e">
        <f t="shared" si="13"/>
        <v>#DIV/0!</v>
      </c>
      <c r="H275" s="155"/>
    </row>
    <row r="276" spans="1:8" s="35" customFormat="1" ht="41.25" customHeight="1" hidden="1">
      <c r="A276" s="62"/>
      <c r="B276" s="63"/>
      <c r="C276" s="55" t="s">
        <v>253</v>
      </c>
      <c r="D276" s="32" t="s">
        <v>1116</v>
      </c>
      <c r="E276" s="64">
        <v>0</v>
      </c>
      <c r="F276" s="64">
        <v>0</v>
      </c>
      <c r="G276" s="40" t="e">
        <f t="shared" si="13"/>
        <v>#DIV/0!</v>
      </c>
      <c r="H276" s="155"/>
    </row>
    <row r="277" spans="1:8" s="35" customFormat="1" ht="27" customHeight="1">
      <c r="A277" s="62"/>
      <c r="B277" s="63"/>
      <c r="C277" s="55" t="s">
        <v>407</v>
      </c>
      <c r="D277" s="38" t="s">
        <v>408</v>
      </c>
      <c r="E277" s="64">
        <v>6124000</v>
      </c>
      <c r="F277" s="64">
        <v>0</v>
      </c>
      <c r="G277" s="40">
        <f t="shared" si="13"/>
        <v>0</v>
      </c>
      <c r="H277" s="155"/>
    </row>
    <row r="278" spans="1:8" s="35" customFormat="1" ht="40.5" customHeight="1" hidden="1">
      <c r="A278" s="62"/>
      <c r="B278" s="63"/>
      <c r="C278" s="55" t="s">
        <v>1034</v>
      </c>
      <c r="D278" s="38" t="s">
        <v>1027</v>
      </c>
      <c r="E278" s="64">
        <v>0</v>
      </c>
      <c r="F278" s="64">
        <v>0</v>
      </c>
      <c r="G278" s="40" t="e">
        <f t="shared" si="13"/>
        <v>#DIV/0!</v>
      </c>
      <c r="H278" s="155"/>
    </row>
    <row r="279" spans="1:8" s="35" customFormat="1" ht="42.75" customHeight="1" hidden="1">
      <c r="A279" s="62"/>
      <c r="B279" s="63"/>
      <c r="C279" s="55" t="s">
        <v>1035</v>
      </c>
      <c r="D279" s="38" t="s">
        <v>1027</v>
      </c>
      <c r="E279" s="64">
        <v>0</v>
      </c>
      <c r="F279" s="64">
        <v>0</v>
      </c>
      <c r="G279" s="40" t="e">
        <f t="shared" si="13"/>
        <v>#DIV/0!</v>
      </c>
      <c r="H279" s="155"/>
    </row>
    <row r="280" spans="1:8" s="45" customFormat="1" ht="18.75" customHeight="1">
      <c r="A280" s="76" t="s">
        <v>12</v>
      </c>
      <c r="B280" s="77"/>
      <c r="C280" s="77"/>
      <c r="D280" s="78" t="s">
        <v>13</v>
      </c>
      <c r="E280" s="57">
        <f>SUM(E281,E294,E304,E312,E316,E318)</f>
        <v>1685003</v>
      </c>
      <c r="F280" s="57">
        <f>SUM(F281,F294,F304,F312,F316,F318)</f>
        <v>159475.4000000001</v>
      </c>
      <c r="G280" s="22">
        <f aca="true" t="shared" si="14" ref="G280:G290">F280/E280*100</f>
        <v>9.464398579705799</v>
      </c>
      <c r="H280" s="154"/>
    </row>
    <row r="281" spans="1:7" ht="18.75" customHeight="1">
      <c r="A281" s="70"/>
      <c r="B281" s="71" t="s">
        <v>14</v>
      </c>
      <c r="C281" s="71"/>
      <c r="D281" s="75" t="s">
        <v>15</v>
      </c>
      <c r="E281" s="59">
        <f>SUM(E282,E283,E284,E285,E286,E287,E288,E290,E291,E293)</f>
        <v>12000</v>
      </c>
      <c r="F281" s="59">
        <f>SUM(F282,F283,F284,F285,F286,F287,F288,F290,F291,F293)</f>
        <v>-587845.44</v>
      </c>
      <c r="G281" s="40">
        <f t="shared" si="14"/>
        <v>-4898.7119999999995</v>
      </c>
    </row>
    <row r="282" spans="1:7" ht="27" customHeight="1" hidden="1">
      <c r="A282" s="70"/>
      <c r="B282" s="71"/>
      <c r="C282" s="55" t="s">
        <v>681</v>
      </c>
      <c r="D282" s="38" t="s">
        <v>357</v>
      </c>
      <c r="E282" s="64">
        <v>0</v>
      </c>
      <c r="F282" s="64">
        <v>0</v>
      </c>
      <c r="G282" s="168" t="e">
        <f t="shared" si="14"/>
        <v>#DIV/0!</v>
      </c>
    </row>
    <row r="283" spans="1:7" ht="27" customHeight="1" hidden="1">
      <c r="A283" s="70"/>
      <c r="B283" s="71"/>
      <c r="C283" s="55" t="s">
        <v>356</v>
      </c>
      <c r="D283" s="32" t="s">
        <v>1392</v>
      </c>
      <c r="E283" s="64">
        <v>0</v>
      </c>
      <c r="F283" s="64">
        <v>0</v>
      </c>
      <c r="G283" s="168" t="e">
        <f t="shared" si="14"/>
        <v>#DIV/0!</v>
      </c>
    </row>
    <row r="284" spans="1:7" ht="24.75" customHeight="1" hidden="1">
      <c r="A284" s="70"/>
      <c r="B284" s="71"/>
      <c r="C284" s="63" t="s">
        <v>682</v>
      </c>
      <c r="D284" s="38" t="s">
        <v>767</v>
      </c>
      <c r="E284" s="64">
        <v>0</v>
      </c>
      <c r="F284" s="64">
        <v>0</v>
      </c>
      <c r="G284" s="168" t="e">
        <f t="shared" si="14"/>
        <v>#DIV/0!</v>
      </c>
    </row>
    <row r="285" spans="1:8" s="35" customFormat="1" ht="18" customHeight="1">
      <c r="A285" s="62"/>
      <c r="B285" s="63"/>
      <c r="C285" s="55" t="s">
        <v>680</v>
      </c>
      <c r="D285" s="38" t="s">
        <v>770</v>
      </c>
      <c r="E285" s="64">
        <v>0</v>
      </c>
      <c r="F285" s="64">
        <v>154.56</v>
      </c>
      <c r="G285" s="40" t="e">
        <f t="shared" si="14"/>
        <v>#DIV/0!</v>
      </c>
      <c r="H285" s="155"/>
    </row>
    <row r="286" spans="1:8" s="35" customFormat="1" ht="69.75" customHeight="1" hidden="1">
      <c r="A286" s="62"/>
      <c r="B286" s="63"/>
      <c r="C286" s="37">
        <v>2010</v>
      </c>
      <c r="D286" s="38" t="s">
        <v>1376</v>
      </c>
      <c r="E286" s="64">
        <v>0</v>
      </c>
      <c r="F286" s="64">
        <v>0</v>
      </c>
      <c r="G286" s="168" t="e">
        <f t="shared" si="14"/>
        <v>#DIV/0!</v>
      </c>
      <c r="H286" s="155"/>
    </row>
    <row r="287" spans="1:8" s="35" customFormat="1" ht="60" customHeight="1">
      <c r="A287" s="62"/>
      <c r="B287" s="63"/>
      <c r="C287" s="55" t="s">
        <v>434</v>
      </c>
      <c r="D287" s="38" t="s">
        <v>1393</v>
      </c>
      <c r="E287" s="64">
        <v>12000</v>
      </c>
      <c r="F287" s="64">
        <v>12000</v>
      </c>
      <c r="G287" s="168">
        <f t="shared" si="14"/>
        <v>100</v>
      </c>
      <c r="H287" s="155"/>
    </row>
    <row r="288" spans="1:8" s="35" customFormat="1" ht="69.75" customHeight="1" hidden="1">
      <c r="A288" s="62"/>
      <c r="B288" s="63"/>
      <c r="C288" s="63" t="s">
        <v>296</v>
      </c>
      <c r="D288" s="68" t="s">
        <v>298</v>
      </c>
      <c r="E288" s="64">
        <v>0</v>
      </c>
      <c r="F288" s="64">
        <v>0</v>
      </c>
      <c r="G288" s="168" t="e">
        <f t="shared" si="14"/>
        <v>#DIV/0!</v>
      </c>
      <c r="H288" s="155"/>
    </row>
    <row r="289" spans="1:8" s="35" customFormat="1" ht="30" customHeight="1" hidden="1">
      <c r="A289" s="62"/>
      <c r="B289" s="63"/>
      <c r="C289" s="63"/>
      <c r="D289" s="68" t="s">
        <v>108</v>
      </c>
      <c r="E289" s="64"/>
      <c r="F289" s="64"/>
      <c r="G289" s="168" t="e">
        <f t="shared" si="14"/>
        <v>#DIV/0!</v>
      </c>
      <c r="H289" s="155"/>
    </row>
    <row r="290" spans="1:8" s="35" customFormat="1" ht="87" customHeight="1">
      <c r="A290" s="62"/>
      <c r="B290" s="63"/>
      <c r="C290" s="63" t="s">
        <v>1180</v>
      </c>
      <c r="D290" s="68" t="s">
        <v>1181</v>
      </c>
      <c r="E290" s="64">
        <v>0</v>
      </c>
      <c r="F290" s="64">
        <v>-600000</v>
      </c>
      <c r="G290" s="168" t="e">
        <f t="shared" si="14"/>
        <v>#DIV/0!</v>
      </c>
      <c r="H290" s="155"/>
    </row>
    <row r="291" spans="1:8" s="35" customFormat="1" ht="49.5" customHeight="1" hidden="1">
      <c r="A291" s="62"/>
      <c r="B291" s="63"/>
      <c r="C291" s="55" t="s">
        <v>346</v>
      </c>
      <c r="D291" s="32" t="s">
        <v>551</v>
      </c>
      <c r="E291" s="64">
        <v>0</v>
      </c>
      <c r="F291" s="64">
        <v>0</v>
      </c>
      <c r="G291" s="40" t="e">
        <f>F291/E291*100</f>
        <v>#DIV/0!</v>
      </c>
      <c r="H291" s="155"/>
    </row>
    <row r="292" spans="1:8" s="35" customFormat="1" ht="66" customHeight="1" hidden="1">
      <c r="A292" s="62"/>
      <c r="B292" s="63"/>
      <c r="C292" s="55"/>
      <c r="D292" s="38" t="s">
        <v>1272</v>
      </c>
      <c r="E292" s="64"/>
      <c r="F292" s="64"/>
      <c r="G292" s="40"/>
      <c r="H292" s="155"/>
    </row>
    <row r="293" spans="1:8" s="35" customFormat="1" ht="42" customHeight="1" hidden="1">
      <c r="A293" s="62"/>
      <c r="B293" s="63"/>
      <c r="C293" s="55" t="s">
        <v>431</v>
      </c>
      <c r="D293" s="38" t="s">
        <v>469</v>
      </c>
      <c r="E293" s="64">
        <v>0</v>
      </c>
      <c r="F293" s="64">
        <v>0</v>
      </c>
      <c r="G293" s="40" t="e">
        <f aca="true" t="shared" si="15" ref="G293:G301">F293/E293*100</f>
        <v>#DIV/0!</v>
      </c>
      <c r="H293" s="155"/>
    </row>
    <row r="294" spans="1:7" ht="20.25" customHeight="1">
      <c r="A294" s="70"/>
      <c r="B294" s="71" t="s">
        <v>1136</v>
      </c>
      <c r="C294" s="169"/>
      <c r="D294" s="73" t="s">
        <v>1137</v>
      </c>
      <c r="E294" s="59">
        <f>SUM(E295,E296,E297,E298,E299,E300,E301,E302,E303)</f>
        <v>1635803</v>
      </c>
      <c r="F294" s="59">
        <f>SUM(F295,F296,F297,F298,F299,F300,F301,F302,F303)</f>
        <v>732038.0700000001</v>
      </c>
      <c r="G294" s="28">
        <f t="shared" si="15"/>
        <v>44.75099202043278</v>
      </c>
    </row>
    <row r="295" spans="1:8" s="35" customFormat="1" ht="29.25" customHeight="1" hidden="1">
      <c r="A295" s="62"/>
      <c r="B295" s="63"/>
      <c r="C295" s="55" t="s">
        <v>681</v>
      </c>
      <c r="D295" s="32" t="s">
        <v>1391</v>
      </c>
      <c r="E295" s="64">
        <v>0</v>
      </c>
      <c r="F295" s="64">
        <v>0</v>
      </c>
      <c r="G295" s="40" t="e">
        <f t="shared" si="15"/>
        <v>#DIV/0!</v>
      </c>
      <c r="H295" s="155"/>
    </row>
    <row r="296" spans="1:8" s="35" customFormat="1" ht="29.25" customHeight="1">
      <c r="A296" s="62"/>
      <c r="B296" s="63"/>
      <c r="C296" s="55" t="s">
        <v>1314</v>
      </c>
      <c r="D296" s="38" t="s">
        <v>1326</v>
      </c>
      <c r="E296" s="64">
        <v>479037</v>
      </c>
      <c r="F296" s="64">
        <v>154987.37</v>
      </c>
      <c r="G296" s="40">
        <f>F296/E296*100</f>
        <v>32.353945519865896</v>
      </c>
      <c r="H296" s="155"/>
    </row>
    <row r="297" spans="1:7" ht="24.75" customHeight="1" hidden="1">
      <c r="A297" s="70"/>
      <c r="B297" s="71"/>
      <c r="C297" s="63" t="s">
        <v>682</v>
      </c>
      <c r="D297" s="38" t="s">
        <v>767</v>
      </c>
      <c r="E297" s="64">
        <v>0</v>
      </c>
      <c r="F297" s="64">
        <v>0</v>
      </c>
      <c r="G297" s="40" t="e">
        <f t="shared" si="15"/>
        <v>#DIV/0!</v>
      </c>
    </row>
    <row r="298" spans="1:8" s="35" customFormat="1" ht="18.75" customHeight="1" hidden="1">
      <c r="A298" s="62"/>
      <c r="B298" s="63"/>
      <c r="C298" s="55" t="s">
        <v>678</v>
      </c>
      <c r="D298" s="38" t="s">
        <v>811</v>
      </c>
      <c r="E298" s="64">
        <v>0</v>
      </c>
      <c r="F298" s="64">
        <v>0</v>
      </c>
      <c r="G298" s="40" t="e">
        <f t="shared" si="15"/>
        <v>#DIV/0!</v>
      </c>
      <c r="H298" s="155"/>
    </row>
    <row r="299" spans="1:8" s="35" customFormat="1" ht="18.75" customHeight="1">
      <c r="A299" s="62"/>
      <c r="B299" s="63"/>
      <c r="C299" s="63" t="s">
        <v>679</v>
      </c>
      <c r="D299" s="32" t="s">
        <v>1377</v>
      </c>
      <c r="E299" s="64">
        <v>3410</v>
      </c>
      <c r="F299" s="64">
        <v>372.7</v>
      </c>
      <c r="G299" s="40">
        <f t="shared" si="15"/>
        <v>10.929618768328446</v>
      </c>
      <c r="H299" s="155"/>
    </row>
    <row r="300" spans="1:8" s="35" customFormat="1" ht="23.25" customHeight="1" hidden="1">
      <c r="A300" s="62"/>
      <c r="B300" s="63"/>
      <c r="C300" s="55" t="s">
        <v>680</v>
      </c>
      <c r="D300" s="38" t="s">
        <v>770</v>
      </c>
      <c r="E300" s="64">
        <v>0</v>
      </c>
      <c r="F300" s="64">
        <v>0</v>
      </c>
      <c r="G300" s="40" t="e">
        <f t="shared" si="15"/>
        <v>#DIV/0!</v>
      </c>
      <c r="H300" s="155"/>
    </row>
    <row r="301" spans="1:8" s="35" customFormat="1" ht="57" customHeight="1">
      <c r="A301" s="62"/>
      <c r="B301" s="63"/>
      <c r="C301" s="55" t="s">
        <v>434</v>
      </c>
      <c r="D301" s="38" t="s">
        <v>1393</v>
      </c>
      <c r="E301" s="64">
        <v>1153356</v>
      </c>
      <c r="F301" s="64">
        <v>576678</v>
      </c>
      <c r="G301" s="168">
        <f t="shared" si="15"/>
        <v>50</v>
      </c>
      <c r="H301" s="155"/>
    </row>
    <row r="302" spans="1:8" s="35" customFormat="1" ht="39.75" customHeight="1" hidden="1">
      <c r="A302" s="62"/>
      <c r="B302" s="63"/>
      <c r="C302" s="55" t="s">
        <v>253</v>
      </c>
      <c r="D302" s="38" t="s">
        <v>302</v>
      </c>
      <c r="E302" s="64">
        <v>0</v>
      </c>
      <c r="F302" s="64">
        <v>0</v>
      </c>
      <c r="G302" s="168" t="e">
        <f aca="true" t="shared" si="16" ref="G302:G323">F302/E302*100</f>
        <v>#DIV/0!</v>
      </c>
      <c r="H302" s="155"/>
    </row>
    <row r="303" spans="1:8" s="35" customFormat="1" ht="12" customHeight="1" hidden="1">
      <c r="A303" s="62"/>
      <c r="B303" s="63"/>
      <c r="C303" s="55" t="s">
        <v>961</v>
      </c>
      <c r="D303" s="38" t="s">
        <v>965</v>
      </c>
      <c r="E303" s="64">
        <v>0</v>
      </c>
      <c r="F303" s="64">
        <v>0</v>
      </c>
      <c r="G303" s="168" t="e">
        <f t="shared" si="16"/>
        <v>#DIV/0!</v>
      </c>
      <c r="H303" s="155"/>
    </row>
    <row r="304" spans="1:8" s="35" customFormat="1" ht="16.5" customHeight="1">
      <c r="A304" s="70"/>
      <c r="B304" s="71" t="s">
        <v>16</v>
      </c>
      <c r="C304" s="169"/>
      <c r="D304" s="73" t="s">
        <v>17</v>
      </c>
      <c r="E304" s="59">
        <f>SUM(E305,E306,E307,E308,E309,E310,E311)</f>
        <v>15200</v>
      </c>
      <c r="F304" s="59">
        <f>SUM(F305,F306,F307,F308,F309,F310,F311)</f>
        <v>15282.77</v>
      </c>
      <c r="G304" s="170">
        <f t="shared" si="16"/>
        <v>100.5445394736842</v>
      </c>
      <c r="H304" s="155"/>
    </row>
    <row r="305" spans="1:8" s="35" customFormat="1" ht="29.25" customHeight="1" hidden="1">
      <c r="A305" s="62"/>
      <c r="B305" s="63"/>
      <c r="C305" s="55" t="s">
        <v>356</v>
      </c>
      <c r="D305" s="38" t="s">
        <v>355</v>
      </c>
      <c r="E305" s="64">
        <v>0</v>
      </c>
      <c r="F305" s="64">
        <v>0</v>
      </c>
      <c r="G305" s="168" t="e">
        <f t="shared" si="16"/>
        <v>#DIV/0!</v>
      </c>
      <c r="H305" s="155"/>
    </row>
    <row r="306" spans="1:8" s="35" customFormat="1" ht="18.75" customHeight="1" hidden="1">
      <c r="A306" s="62"/>
      <c r="B306" s="63"/>
      <c r="C306" s="63" t="s">
        <v>682</v>
      </c>
      <c r="D306" s="38" t="s">
        <v>767</v>
      </c>
      <c r="E306" s="64">
        <v>0</v>
      </c>
      <c r="F306" s="64">
        <v>0</v>
      </c>
      <c r="G306" s="168" t="e">
        <f t="shared" si="16"/>
        <v>#DIV/0!</v>
      </c>
      <c r="H306" s="155"/>
    </row>
    <row r="307" spans="1:8" s="35" customFormat="1" ht="16.5" customHeight="1">
      <c r="A307" s="62"/>
      <c r="B307" s="63"/>
      <c r="C307" s="55" t="s">
        <v>680</v>
      </c>
      <c r="D307" s="38" t="s">
        <v>770</v>
      </c>
      <c r="E307" s="64">
        <v>0</v>
      </c>
      <c r="F307" s="64">
        <v>82.77</v>
      </c>
      <c r="G307" s="168" t="e">
        <f t="shared" si="16"/>
        <v>#DIV/0!</v>
      </c>
      <c r="H307" s="155"/>
    </row>
    <row r="308" spans="1:8" s="35" customFormat="1" ht="66.75" customHeight="1" hidden="1">
      <c r="A308" s="62"/>
      <c r="B308" s="63"/>
      <c r="C308" s="55" t="s">
        <v>449</v>
      </c>
      <c r="D308" s="38" t="s">
        <v>1376</v>
      </c>
      <c r="E308" s="64">
        <v>0</v>
      </c>
      <c r="F308" s="64">
        <v>0</v>
      </c>
      <c r="G308" s="168" t="e">
        <f>F308/E308*100</f>
        <v>#DIV/0!</v>
      </c>
      <c r="H308" s="155"/>
    </row>
    <row r="309" spans="1:8" s="35" customFormat="1" ht="55.5" customHeight="1">
      <c r="A309" s="62"/>
      <c r="B309" s="63"/>
      <c r="C309" s="55" t="s">
        <v>434</v>
      </c>
      <c r="D309" s="38" t="s">
        <v>1393</v>
      </c>
      <c r="E309" s="64">
        <v>15200</v>
      </c>
      <c r="F309" s="64">
        <v>15200</v>
      </c>
      <c r="G309" s="168">
        <f>F309/E309*100</f>
        <v>100</v>
      </c>
      <c r="H309" s="155"/>
    </row>
    <row r="310" spans="1:8" s="35" customFormat="1" ht="42" customHeight="1" hidden="1">
      <c r="A310" s="62"/>
      <c r="B310" s="63"/>
      <c r="C310" s="55" t="s">
        <v>253</v>
      </c>
      <c r="D310" s="38" t="s">
        <v>302</v>
      </c>
      <c r="E310" s="64">
        <v>0</v>
      </c>
      <c r="F310" s="64">
        <v>0</v>
      </c>
      <c r="G310" s="168" t="e">
        <f t="shared" si="16"/>
        <v>#DIV/0!</v>
      </c>
      <c r="H310" s="155"/>
    </row>
    <row r="311" spans="1:8" s="35" customFormat="1" ht="82.5" customHeight="1" hidden="1">
      <c r="A311" s="62"/>
      <c r="B311" s="63"/>
      <c r="C311" s="63" t="s">
        <v>1057</v>
      </c>
      <c r="D311" s="38" t="s">
        <v>168</v>
      </c>
      <c r="E311" s="64">
        <v>0</v>
      </c>
      <c r="F311" s="64">
        <v>0</v>
      </c>
      <c r="G311" s="168" t="e">
        <f t="shared" si="16"/>
        <v>#DIV/0!</v>
      </c>
      <c r="H311" s="155"/>
    </row>
    <row r="312" spans="1:8" s="35" customFormat="1" ht="16.5" customHeight="1" hidden="1">
      <c r="A312" s="70"/>
      <c r="B312" s="71" t="s">
        <v>18</v>
      </c>
      <c r="C312" s="169"/>
      <c r="D312" s="73" t="s">
        <v>277</v>
      </c>
      <c r="E312" s="59">
        <f>SUM(E313,E314,E315)</f>
        <v>0</v>
      </c>
      <c r="F312" s="59">
        <f>SUM(F313,F314,F315)</f>
        <v>0</v>
      </c>
      <c r="G312" s="170" t="e">
        <f t="shared" si="16"/>
        <v>#DIV/0!</v>
      </c>
      <c r="H312" s="155"/>
    </row>
    <row r="313" spans="1:8" s="35" customFormat="1" ht="18.75" customHeight="1" hidden="1">
      <c r="A313" s="62"/>
      <c r="B313" s="63"/>
      <c r="C313" s="63" t="s">
        <v>682</v>
      </c>
      <c r="D313" s="38" t="s">
        <v>767</v>
      </c>
      <c r="E313" s="64">
        <v>0</v>
      </c>
      <c r="F313" s="64">
        <v>0</v>
      </c>
      <c r="G313" s="168" t="e">
        <f t="shared" si="16"/>
        <v>#DIV/0!</v>
      </c>
      <c r="H313" s="155"/>
    </row>
    <row r="314" spans="1:8" s="35" customFormat="1" ht="16.5" customHeight="1" hidden="1">
      <c r="A314" s="62"/>
      <c r="B314" s="63"/>
      <c r="C314" s="55" t="s">
        <v>680</v>
      </c>
      <c r="D314" s="38" t="s">
        <v>770</v>
      </c>
      <c r="E314" s="64">
        <v>0</v>
      </c>
      <c r="F314" s="64">
        <v>0</v>
      </c>
      <c r="G314" s="168" t="e">
        <f t="shared" si="16"/>
        <v>#DIV/0!</v>
      </c>
      <c r="H314" s="155"/>
    </row>
    <row r="315" spans="1:8" s="35" customFormat="1" ht="69" customHeight="1" hidden="1">
      <c r="A315" s="62"/>
      <c r="B315" s="63"/>
      <c r="C315" s="55" t="s">
        <v>961</v>
      </c>
      <c r="D315" s="32" t="s">
        <v>566</v>
      </c>
      <c r="E315" s="182">
        <v>0</v>
      </c>
      <c r="F315" s="182">
        <v>0</v>
      </c>
      <c r="G315" s="168" t="e">
        <f t="shared" si="16"/>
        <v>#DIV/0!</v>
      </c>
      <c r="H315" s="155"/>
    </row>
    <row r="316" spans="1:8" s="35" customFormat="1" ht="69" customHeight="1" hidden="1">
      <c r="A316" s="70"/>
      <c r="B316" s="71" t="s">
        <v>1274</v>
      </c>
      <c r="C316" s="169"/>
      <c r="D316" s="73" t="s">
        <v>1315</v>
      </c>
      <c r="E316" s="59">
        <f>SUM(E317)</f>
        <v>0</v>
      </c>
      <c r="F316" s="59">
        <f>SUM(F317)</f>
        <v>0</v>
      </c>
      <c r="G316" s="168" t="e">
        <f>F316/E316*100</f>
        <v>#DIV/0!</v>
      </c>
      <c r="H316" s="155"/>
    </row>
    <row r="317" spans="1:8" s="35" customFormat="1" ht="69" customHeight="1" hidden="1">
      <c r="A317" s="62"/>
      <c r="B317" s="63"/>
      <c r="C317" s="55" t="s">
        <v>449</v>
      </c>
      <c r="D317" s="38" t="s">
        <v>1376</v>
      </c>
      <c r="E317" s="64">
        <v>0</v>
      </c>
      <c r="F317" s="64">
        <v>0</v>
      </c>
      <c r="G317" s="168" t="e">
        <f>F317/E317*100</f>
        <v>#DIV/0!</v>
      </c>
      <c r="H317" s="155"/>
    </row>
    <row r="318" spans="1:8" s="35" customFormat="1" ht="17.25" customHeight="1">
      <c r="A318" s="70"/>
      <c r="B318" s="71" t="s">
        <v>1149</v>
      </c>
      <c r="C318" s="169"/>
      <c r="D318" s="73" t="s">
        <v>176</v>
      </c>
      <c r="E318" s="59">
        <f>SUM(E319,E320,E321,E322,E323,E324,E326,E328)</f>
        <v>22000</v>
      </c>
      <c r="F318" s="59">
        <f>SUM(F319,F320,F321,F322,F323,F324,F326,F328)</f>
        <v>0</v>
      </c>
      <c r="G318" s="168">
        <f t="shared" si="16"/>
        <v>0</v>
      </c>
      <c r="H318" s="155"/>
    </row>
    <row r="319" spans="1:8" s="35" customFormat="1" ht="27.75" customHeight="1" hidden="1">
      <c r="A319" s="62"/>
      <c r="B319" s="63"/>
      <c r="C319" s="55" t="s">
        <v>681</v>
      </c>
      <c r="D319" s="32" t="s">
        <v>1391</v>
      </c>
      <c r="E319" s="64">
        <v>0</v>
      </c>
      <c r="F319" s="64">
        <v>0</v>
      </c>
      <c r="G319" s="168" t="e">
        <f t="shared" si="16"/>
        <v>#DIV/0!</v>
      </c>
      <c r="H319" s="155"/>
    </row>
    <row r="320" spans="1:8" s="35" customFormat="1" ht="17.25" customHeight="1" hidden="1">
      <c r="A320" s="62"/>
      <c r="B320" s="63"/>
      <c r="C320" s="55" t="s">
        <v>682</v>
      </c>
      <c r="D320" s="38" t="s">
        <v>767</v>
      </c>
      <c r="E320" s="64">
        <v>0</v>
      </c>
      <c r="F320" s="64">
        <v>0</v>
      </c>
      <c r="G320" s="168" t="e">
        <f t="shared" si="16"/>
        <v>#DIV/0!</v>
      </c>
      <c r="H320" s="155"/>
    </row>
    <row r="321" spans="1:8" s="35" customFormat="1" ht="17.25" customHeight="1" hidden="1">
      <c r="A321" s="62"/>
      <c r="B321" s="63"/>
      <c r="C321" s="55" t="s">
        <v>679</v>
      </c>
      <c r="D321" s="79" t="s">
        <v>809</v>
      </c>
      <c r="E321" s="64">
        <v>0</v>
      </c>
      <c r="F321" s="64">
        <v>0</v>
      </c>
      <c r="G321" s="168" t="e">
        <f t="shared" si="16"/>
        <v>#DIV/0!</v>
      </c>
      <c r="H321" s="155"/>
    </row>
    <row r="322" spans="1:8" s="35" customFormat="1" ht="56.25" customHeight="1" hidden="1">
      <c r="A322" s="62"/>
      <c r="B322" s="63"/>
      <c r="C322" s="55" t="s">
        <v>449</v>
      </c>
      <c r="D322" s="38" t="s">
        <v>314</v>
      </c>
      <c r="E322" s="64">
        <v>0</v>
      </c>
      <c r="F322" s="64">
        <v>0</v>
      </c>
      <c r="G322" s="168" t="e">
        <f t="shared" si="16"/>
        <v>#DIV/0!</v>
      </c>
      <c r="H322" s="155"/>
    </row>
    <row r="323" spans="1:8" s="35" customFormat="1" ht="58.5" customHeight="1" hidden="1">
      <c r="A323" s="62"/>
      <c r="B323" s="63"/>
      <c r="C323" s="55" t="s">
        <v>433</v>
      </c>
      <c r="D323" s="38" t="s">
        <v>327</v>
      </c>
      <c r="E323" s="64">
        <v>0</v>
      </c>
      <c r="F323" s="64">
        <v>0</v>
      </c>
      <c r="G323" s="168" t="e">
        <f t="shared" si="16"/>
        <v>#DIV/0!</v>
      </c>
      <c r="H323" s="155"/>
    </row>
    <row r="324" spans="1:8" s="35" customFormat="1" ht="41.25" customHeight="1" hidden="1">
      <c r="A324" s="62"/>
      <c r="B324" s="63"/>
      <c r="C324" s="55" t="s">
        <v>434</v>
      </c>
      <c r="D324" s="38" t="s">
        <v>320</v>
      </c>
      <c r="E324" s="64">
        <v>0</v>
      </c>
      <c r="F324" s="64">
        <v>0</v>
      </c>
      <c r="G324" s="168" t="e">
        <f>F324/E324*100</f>
        <v>#DIV/0!</v>
      </c>
      <c r="H324" s="155"/>
    </row>
    <row r="325" spans="1:8" s="35" customFormat="1" ht="55.5" customHeight="1" hidden="1">
      <c r="A325" s="62"/>
      <c r="B325" s="63"/>
      <c r="C325" s="55" t="s">
        <v>1008</v>
      </c>
      <c r="D325" s="32" t="s">
        <v>797</v>
      </c>
      <c r="E325" s="64">
        <v>0</v>
      </c>
      <c r="F325" s="64">
        <v>0</v>
      </c>
      <c r="G325" s="168" t="e">
        <f>F325/E325*100</f>
        <v>#DIV/0!</v>
      </c>
      <c r="H325" s="155"/>
    </row>
    <row r="326" spans="1:8" s="35" customFormat="1" ht="55.5" customHeight="1">
      <c r="A326" s="62"/>
      <c r="B326" s="63"/>
      <c r="C326" s="55" t="s">
        <v>1057</v>
      </c>
      <c r="D326" s="32" t="s">
        <v>797</v>
      </c>
      <c r="E326" s="64">
        <v>22000</v>
      </c>
      <c r="F326" s="64">
        <v>0</v>
      </c>
      <c r="G326" s="168">
        <f>F326/E326*100</f>
        <v>0</v>
      </c>
      <c r="H326" s="155"/>
    </row>
    <row r="327" spans="1:8" s="35" customFormat="1" ht="42.75" customHeight="1">
      <c r="A327" s="62"/>
      <c r="B327" s="63"/>
      <c r="C327" s="55"/>
      <c r="D327" s="32" t="s">
        <v>1425</v>
      </c>
      <c r="E327" s="182"/>
      <c r="F327" s="182"/>
      <c r="G327" s="168"/>
      <c r="H327" s="155"/>
    </row>
    <row r="328" spans="1:8" s="35" customFormat="1" ht="69" customHeight="1" hidden="1">
      <c r="A328" s="62"/>
      <c r="B328" s="63"/>
      <c r="C328" s="55" t="s">
        <v>961</v>
      </c>
      <c r="D328" s="32" t="s">
        <v>566</v>
      </c>
      <c r="E328" s="182">
        <v>0</v>
      </c>
      <c r="F328" s="182">
        <v>0</v>
      </c>
      <c r="G328" s="168" t="e">
        <f>F328/E328*100</f>
        <v>#DIV/0!</v>
      </c>
      <c r="H328" s="155"/>
    </row>
    <row r="329" spans="1:8" s="35" customFormat="1" ht="44.25" customHeight="1" hidden="1">
      <c r="A329" s="62"/>
      <c r="B329" s="63"/>
      <c r="C329" s="55" t="s">
        <v>431</v>
      </c>
      <c r="D329" s="38" t="s">
        <v>469</v>
      </c>
      <c r="E329" s="64">
        <v>0</v>
      </c>
      <c r="F329" s="64">
        <v>0</v>
      </c>
      <c r="G329" s="168" t="e">
        <f>F329/E329*100</f>
        <v>#DIV/0!</v>
      </c>
      <c r="H329" s="155"/>
    </row>
    <row r="330" spans="1:7" ht="19.5" customHeight="1">
      <c r="A330" s="76" t="s">
        <v>21</v>
      </c>
      <c r="B330" s="77"/>
      <c r="C330" s="74"/>
      <c r="D330" s="78" t="s">
        <v>22</v>
      </c>
      <c r="E330" s="57">
        <f>SUM(E331,E336,E340,E347)</f>
        <v>10488</v>
      </c>
      <c r="F330" s="57">
        <f>SUM(F331,F336,F340,F347)</f>
        <v>21025.72</v>
      </c>
      <c r="G330" s="22">
        <f>F330/E330*100</f>
        <v>200.47406559877956</v>
      </c>
    </row>
    <row r="331" spans="1:7" ht="18" customHeight="1">
      <c r="A331" s="70"/>
      <c r="B331" s="161" t="s">
        <v>1155</v>
      </c>
      <c r="C331" s="161"/>
      <c r="D331" s="183" t="s">
        <v>1095</v>
      </c>
      <c r="E331" s="163">
        <f>SUM(E332,E333,E334,E335)</f>
        <v>0</v>
      </c>
      <c r="F331" s="163">
        <f>SUM(F332,F333,F334,F335)</f>
        <v>11.13</v>
      </c>
      <c r="G331" s="28" t="e">
        <f aca="true" t="shared" si="17" ref="G331:G345">F331/E331*100</f>
        <v>#DIV/0!</v>
      </c>
    </row>
    <row r="332" spans="1:8" s="35" customFormat="1" ht="63.75" customHeight="1" hidden="1">
      <c r="A332" s="62"/>
      <c r="B332" s="177"/>
      <c r="C332" s="177" t="s">
        <v>409</v>
      </c>
      <c r="D332" s="61" t="s">
        <v>410</v>
      </c>
      <c r="E332" s="182">
        <v>0</v>
      </c>
      <c r="F332" s="182">
        <v>0</v>
      </c>
      <c r="G332" s="40" t="e">
        <f t="shared" si="17"/>
        <v>#DIV/0!</v>
      </c>
      <c r="H332" s="155"/>
    </row>
    <row r="333" spans="1:7" ht="20.25" customHeight="1" hidden="1">
      <c r="A333" s="62"/>
      <c r="B333" s="177"/>
      <c r="C333" s="177" t="s">
        <v>680</v>
      </c>
      <c r="D333" s="79" t="s">
        <v>770</v>
      </c>
      <c r="E333" s="182">
        <v>0</v>
      </c>
      <c r="F333" s="182">
        <v>0</v>
      </c>
      <c r="G333" s="40" t="e">
        <f t="shared" si="17"/>
        <v>#DIV/0!</v>
      </c>
    </row>
    <row r="334" spans="1:7" ht="64.5" customHeight="1" hidden="1">
      <c r="A334" s="62"/>
      <c r="B334" s="177"/>
      <c r="C334" s="177" t="s">
        <v>961</v>
      </c>
      <c r="D334" s="32" t="s">
        <v>566</v>
      </c>
      <c r="E334" s="182">
        <v>0</v>
      </c>
      <c r="F334" s="182">
        <v>0</v>
      </c>
      <c r="G334" s="40" t="e">
        <f t="shared" si="17"/>
        <v>#DIV/0!</v>
      </c>
    </row>
    <row r="335" spans="1:7" ht="30.75" customHeight="1">
      <c r="A335" s="62"/>
      <c r="B335" s="177"/>
      <c r="C335" s="177" t="s">
        <v>1426</v>
      </c>
      <c r="D335" s="32" t="s">
        <v>1427</v>
      </c>
      <c r="E335" s="182">
        <v>0</v>
      </c>
      <c r="F335" s="182">
        <v>11.13</v>
      </c>
      <c r="G335" s="40" t="e">
        <f>F335/E335*100</f>
        <v>#DIV/0!</v>
      </c>
    </row>
    <row r="336" spans="1:7" ht="19.5" customHeight="1" hidden="1">
      <c r="A336" s="70"/>
      <c r="B336" s="161" t="s">
        <v>519</v>
      </c>
      <c r="C336" s="184"/>
      <c r="D336" s="162" t="s">
        <v>520</v>
      </c>
      <c r="E336" s="163">
        <f>SUM(E337,E338,E339)</f>
        <v>0</v>
      </c>
      <c r="F336" s="163">
        <f>SUM(F337,F338,F339)</f>
        <v>0</v>
      </c>
      <c r="G336" s="28" t="e">
        <f t="shared" si="17"/>
        <v>#DIV/0!</v>
      </c>
    </row>
    <row r="337" spans="1:8" s="35" customFormat="1" ht="65.25" customHeight="1" hidden="1">
      <c r="A337" s="62"/>
      <c r="B337" s="177"/>
      <c r="C337" s="177" t="s">
        <v>409</v>
      </c>
      <c r="D337" s="61" t="s">
        <v>410</v>
      </c>
      <c r="E337" s="182">
        <v>0</v>
      </c>
      <c r="F337" s="182">
        <v>0</v>
      </c>
      <c r="G337" s="28" t="e">
        <f t="shared" si="17"/>
        <v>#DIV/0!</v>
      </c>
      <c r="H337" s="155"/>
    </row>
    <row r="338" spans="1:7" ht="19.5" customHeight="1" hidden="1">
      <c r="A338" s="70"/>
      <c r="B338" s="161"/>
      <c r="C338" s="63" t="s">
        <v>680</v>
      </c>
      <c r="D338" s="79" t="s">
        <v>770</v>
      </c>
      <c r="E338" s="182">
        <v>0</v>
      </c>
      <c r="F338" s="182">
        <v>0</v>
      </c>
      <c r="G338" s="28" t="e">
        <f t="shared" si="17"/>
        <v>#DIV/0!</v>
      </c>
    </row>
    <row r="339" spans="1:7" ht="67.5" customHeight="1" hidden="1">
      <c r="A339" s="70"/>
      <c r="B339" s="161"/>
      <c r="C339" s="177" t="s">
        <v>961</v>
      </c>
      <c r="D339" s="32" t="s">
        <v>566</v>
      </c>
      <c r="E339" s="182">
        <v>0</v>
      </c>
      <c r="F339" s="182">
        <v>0</v>
      </c>
      <c r="G339" s="28" t="e">
        <f t="shared" si="17"/>
        <v>#DIV/0!</v>
      </c>
    </row>
    <row r="340" spans="1:7" ht="19.5" customHeight="1">
      <c r="A340" s="70"/>
      <c r="B340" s="161" t="s">
        <v>23</v>
      </c>
      <c r="C340" s="184"/>
      <c r="D340" s="162" t="s">
        <v>24</v>
      </c>
      <c r="E340" s="163">
        <f>SUM(E341,E342,E343,E344,E345)</f>
        <v>0</v>
      </c>
      <c r="F340" s="163">
        <f>SUM(F341,F342,F343,F344,F345)</f>
        <v>15463.59</v>
      </c>
      <c r="G340" s="28" t="e">
        <f t="shared" si="17"/>
        <v>#DIV/0!</v>
      </c>
    </row>
    <row r="341" spans="1:8" s="35" customFormat="1" ht="69.75" customHeight="1">
      <c r="A341" s="62"/>
      <c r="B341" s="177"/>
      <c r="C341" s="63" t="s">
        <v>409</v>
      </c>
      <c r="D341" s="61" t="s">
        <v>1395</v>
      </c>
      <c r="E341" s="182">
        <v>0</v>
      </c>
      <c r="F341" s="182">
        <v>17</v>
      </c>
      <c r="G341" s="40" t="e">
        <f t="shared" si="17"/>
        <v>#DIV/0!</v>
      </c>
      <c r="H341" s="155"/>
    </row>
    <row r="342" spans="1:8" s="35" customFormat="1" ht="27" customHeight="1">
      <c r="A342" s="62"/>
      <c r="B342" s="177"/>
      <c r="C342" s="63" t="s">
        <v>1414</v>
      </c>
      <c r="D342" s="38" t="s">
        <v>1415</v>
      </c>
      <c r="E342" s="182">
        <v>0</v>
      </c>
      <c r="F342" s="182">
        <v>13.15</v>
      </c>
      <c r="G342" s="40" t="e">
        <f>F342/E342*100</f>
        <v>#DIV/0!</v>
      </c>
      <c r="H342" s="155"/>
    </row>
    <row r="343" spans="1:7" ht="67.5" customHeight="1">
      <c r="A343" s="70"/>
      <c r="B343" s="185"/>
      <c r="C343" s="158" t="s">
        <v>961</v>
      </c>
      <c r="D343" s="38" t="s">
        <v>566</v>
      </c>
      <c r="E343" s="186">
        <v>0</v>
      </c>
      <c r="F343" s="160">
        <v>12552.52</v>
      </c>
      <c r="G343" s="34" t="e">
        <f t="shared" si="17"/>
        <v>#DIV/0!</v>
      </c>
    </row>
    <row r="344" spans="1:7" ht="30" customHeight="1">
      <c r="A344" s="70"/>
      <c r="B344" s="185"/>
      <c r="C344" s="158" t="s">
        <v>1426</v>
      </c>
      <c r="D344" s="32" t="s">
        <v>1427</v>
      </c>
      <c r="E344" s="186">
        <v>0</v>
      </c>
      <c r="F344" s="160">
        <v>2880.92</v>
      </c>
      <c r="G344" s="34" t="e">
        <f t="shared" si="17"/>
        <v>#DIV/0!</v>
      </c>
    </row>
    <row r="345" spans="1:7" ht="53.25" customHeight="1" hidden="1">
      <c r="A345" s="70"/>
      <c r="B345" s="185"/>
      <c r="C345" s="158" t="s">
        <v>346</v>
      </c>
      <c r="D345" s="32" t="s">
        <v>551</v>
      </c>
      <c r="E345" s="186">
        <v>0</v>
      </c>
      <c r="F345" s="160">
        <v>0</v>
      </c>
      <c r="G345" s="34" t="e">
        <f t="shared" si="17"/>
        <v>#DIV/0!</v>
      </c>
    </row>
    <row r="346" spans="1:7" ht="75.75" customHeight="1" hidden="1">
      <c r="A346" s="70"/>
      <c r="B346" s="185"/>
      <c r="C346" s="158"/>
      <c r="D346" s="38" t="s">
        <v>552</v>
      </c>
      <c r="E346" s="186"/>
      <c r="F346" s="160"/>
      <c r="G346" s="54"/>
    </row>
    <row r="347" spans="1:7" ht="19.5" customHeight="1">
      <c r="A347" s="70"/>
      <c r="B347" s="187" t="s">
        <v>521</v>
      </c>
      <c r="C347" s="188"/>
      <c r="D347" s="189" t="s">
        <v>176</v>
      </c>
      <c r="E347" s="190">
        <f>SUM(E348,E349,E350,E351)</f>
        <v>10488</v>
      </c>
      <c r="F347" s="190">
        <f>SUM(F348,F349,F350,F351)</f>
        <v>5551</v>
      </c>
      <c r="G347" s="54">
        <f aca="true" t="shared" si="18" ref="G347:G369">F347/E347*100</f>
        <v>52.92715484363082</v>
      </c>
    </row>
    <row r="348" spans="1:8" s="35" customFormat="1" ht="69" customHeight="1">
      <c r="A348" s="62"/>
      <c r="B348" s="158"/>
      <c r="C348" s="178" t="s">
        <v>409</v>
      </c>
      <c r="D348" s="230" t="s">
        <v>1583</v>
      </c>
      <c r="E348" s="160">
        <v>0</v>
      </c>
      <c r="F348" s="160">
        <v>7</v>
      </c>
      <c r="G348" s="34" t="e">
        <f t="shared" si="18"/>
        <v>#DIV/0!</v>
      </c>
      <c r="H348" s="155"/>
    </row>
    <row r="349" spans="1:8" s="35" customFormat="1" ht="67.5" customHeight="1">
      <c r="A349" s="62"/>
      <c r="B349" s="63"/>
      <c r="C349" s="37">
        <v>2010</v>
      </c>
      <c r="D349" s="38" t="s">
        <v>1376</v>
      </c>
      <c r="E349" s="160">
        <v>10488</v>
      </c>
      <c r="F349" s="160">
        <v>5244</v>
      </c>
      <c r="G349" s="34">
        <f t="shared" si="18"/>
        <v>50</v>
      </c>
      <c r="H349" s="155"/>
    </row>
    <row r="350" spans="1:8" s="35" customFormat="1" ht="55.5" customHeight="1" hidden="1">
      <c r="A350" s="62"/>
      <c r="B350" s="63"/>
      <c r="C350" s="37">
        <v>2020</v>
      </c>
      <c r="D350" s="38" t="s">
        <v>327</v>
      </c>
      <c r="E350" s="64">
        <v>0</v>
      </c>
      <c r="F350" s="64">
        <v>0</v>
      </c>
      <c r="G350" s="40" t="e">
        <f t="shared" si="18"/>
        <v>#DIV/0!</v>
      </c>
      <c r="H350" s="155"/>
    </row>
    <row r="351" spans="1:8" s="35" customFormat="1" ht="67.5" customHeight="1">
      <c r="A351" s="62"/>
      <c r="B351" s="63"/>
      <c r="C351" s="37">
        <v>2910</v>
      </c>
      <c r="D351" s="38" t="s">
        <v>566</v>
      </c>
      <c r="E351" s="64">
        <v>0</v>
      </c>
      <c r="F351" s="64">
        <v>300</v>
      </c>
      <c r="G351" s="40" t="e">
        <f>F351/E351*100</f>
        <v>#DIV/0!</v>
      </c>
      <c r="H351" s="155"/>
    </row>
    <row r="352" spans="1:8" s="45" customFormat="1" ht="21.75" customHeight="1">
      <c r="A352" s="76" t="s">
        <v>440</v>
      </c>
      <c r="B352" s="77"/>
      <c r="C352" s="173"/>
      <c r="D352" s="52" t="s">
        <v>451</v>
      </c>
      <c r="E352" s="57">
        <f>SUM(E353,E358,E363,E368,E370,E373,E377,E379,E387,E392,E399,E402,E406,E412,E414,E419,E422,E424)</f>
        <v>2610622.41</v>
      </c>
      <c r="F352" s="57">
        <f>SUM(F353,F358,F363,F368,F370,F373,F377,F379,F387,F392,F399,F402,F406,F412,F414,F419,F422,F424)</f>
        <v>1704763.94</v>
      </c>
      <c r="G352" s="22">
        <f t="shared" si="18"/>
        <v>65.30105362881643</v>
      </c>
      <c r="H352" s="154"/>
    </row>
    <row r="353" spans="1:8" s="45" customFormat="1" ht="21.75" customHeight="1" hidden="1">
      <c r="A353" s="70"/>
      <c r="B353" s="71" t="s">
        <v>441</v>
      </c>
      <c r="C353" s="72"/>
      <c r="D353" s="183" t="s">
        <v>188</v>
      </c>
      <c r="E353" s="59">
        <f>SUM(E354,E355,E356,E357)</f>
        <v>0</v>
      </c>
      <c r="F353" s="59">
        <f>SUM(F354,F355,F356,F357)</f>
        <v>0</v>
      </c>
      <c r="G353" s="28" t="e">
        <f t="shared" si="18"/>
        <v>#DIV/0!</v>
      </c>
      <c r="H353" s="154"/>
    </row>
    <row r="354" spans="1:8" s="191" customFormat="1" ht="27.75" customHeight="1" hidden="1">
      <c r="A354" s="62"/>
      <c r="B354" s="63"/>
      <c r="C354" s="55" t="s">
        <v>681</v>
      </c>
      <c r="D354" s="32" t="s">
        <v>357</v>
      </c>
      <c r="E354" s="182">
        <v>0</v>
      </c>
      <c r="F354" s="64">
        <v>0</v>
      </c>
      <c r="G354" s="40" t="e">
        <f t="shared" si="18"/>
        <v>#DIV/0!</v>
      </c>
      <c r="H354" s="155"/>
    </row>
    <row r="355" spans="1:8" s="35" customFormat="1" ht="18.75" customHeight="1" hidden="1">
      <c r="A355" s="62"/>
      <c r="B355" s="63"/>
      <c r="C355" s="63" t="s">
        <v>679</v>
      </c>
      <c r="D355" s="79" t="s">
        <v>809</v>
      </c>
      <c r="E355" s="64">
        <v>0</v>
      </c>
      <c r="F355" s="64">
        <v>0</v>
      </c>
      <c r="G355" s="40" t="e">
        <f t="shared" si="18"/>
        <v>#DIV/0!</v>
      </c>
      <c r="H355" s="155"/>
    </row>
    <row r="356" spans="1:8" s="35" customFormat="1" ht="30.75" customHeight="1" hidden="1">
      <c r="A356" s="62"/>
      <c r="B356" s="63"/>
      <c r="C356" s="63" t="s">
        <v>300</v>
      </c>
      <c r="D356" s="61" t="s">
        <v>301</v>
      </c>
      <c r="E356" s="64">
        <v>0</v>
      </c>
      <c r="F356" s="64">
        <v>0</v>
      </c>
      <c r="G356" s="40" t="e">
        <f t="shared" si="18"/>
        <v>#DIV/0!</v>
      </c>
      <c r="H356" s="155"/>
    </row>
    <row r="357" spans="1:8" s="45" customFormat="1" ht="21.75" customHeight="1" hidden="1">
      <c r="A357" s="62"/>
      <c r="B357" s="63"/>
      <c r="C357" s="55" t="s">
        <v>680</v>
      </c>
      <c r="D357" s="61" t="s">
        <v>770</v>
      </c>
      <c r="E357" s="182">
        <v>0</v>
      </c>
      <c r="F357" s="64">
        <v>0</v>
      </c>
      <c r="G357" s="40" t="e">
        <f t="shared" si="18"/>
        <v>#DIV/0!</v>
      </c>
      <c r="H357" s="154"/>
    </row>
    <row r="358" spans="1:8" s="45" customFormat="1" ht="21.75" customHeight="1">
      <c r="A358" s="70"/>
      <c r="B358" s="71" t="s">
        <v>524</v>
      </c>
      <c r="C358" s="72"/>
      <c r="D358" s="183" t="s">
        <v>525</v>
      </c>
      <c r="E358" s="59">
        <f>SUM(E359,E360,E361,E362)</f>
        <v>65400</v>
      </c>
      <c r="F358" s="59">
        <f>SUM(F359,F360,F361,F362)</f>
        <v>38659.82</v>
      </c>
      <c r="G358" s="28">
        <f t="shared" si="18"/>
        <v>59.112874617737</v>
      </c>
      <c r="H358" s="154"/>
    </row>
    <row r="359" spans="1:8" s="45" customFormat="1" ht="30" customHeight="1">
      <c r="A359" s="70"/>
      <c r="B359" s="71"/>
      <c r="C359" s="55" t="s">
        <v>1417</v>
      </c>
      <c r="D359" s="196" t="s">
        <v>1420</v>
      </c>
      <c r="E359" s="64">
        <v>0</v>
      </c>
      <c r="F359" s="64">
        <v>23.2</v>
      </c>
      <c r="G359" s="40" t="e">
        <f>F359/E359*100</f>
        <v>#DIV/0!</v>
      </c>
      <c r="H359" s="154"/>
    </row>
    <row r="360" spans="1:7" ht="21" customHeight="1" hidden="1">
      <c r="A360" s="70"/>
      <c r="B360" s="71"/>
      <c r="C360" s="55" t="s">
        <v>678</v>
      </c>
      <c r="D360" s="38" t="s">
        <v>811</v>
      </c>
      <c r="E360" s="182">
        <v>0</v>
      </c>
      <c r="F360" s="64">
        <v>0</v>
      </c>
      <c r="G360" s="40" t="e">
        <f>F360/E360*100</f>
        <v>#DIV/0!</v>
      </c>
    </row>
    <row r="361" spans="1:8" s="35" customFormat="1" ht="18.75" customHeight="1">
      <c r="A361" s="62"/>
      <c r="B361" s="63"/>
      <c r="C361" s="63" t="s">
        <v>679</v>
      </c>
      <c r="D361" s="32" t="s">
        <v>1377</v>
      </c>
      <c r="E361" s="64">
        <v>0</v>
      </c>
      <c r="F361" s="64">
        <v>351.56</v>
      </c>
      <c r="G361" s="40" t="e">
        <f>F361/E361*100</f>
        <v>#DIV/0!</v>
      </c>
      <c r="H361" s="155"/>
    </row>
    <row r="362" spans="1:8" s="45" customFormat="1" ht="21.75" customHeight="1">
      <c r="A362" s="62"/>
      <c r="B362" s="63"/>
      <c r="C362" s="55" t="s">
        <v>680</v>
      </c>
      <c r="D362" s="61" t="s">
        <v>770</v>
      </c>
      <c r="E362" s="182">
        <v>65400</v>
      </c>
      <c r="F362" s="64">
        <v>38285.06</v>
      </c>
      <c r="G362" s="40">
        <f t="shared" si="18"/>
        <v>58.539847094801225</v>
      </c>
      <c r="H362" s="154"/>
    </row>
    <row r="363" spans="1:7" ht="21.75" customHeight="1">
      <c r="A363" s="70"/>
      <c r="B363" s="71" t="s">
        <v>452</v>
      </c>
      <c r="C363" s="72"/>
      <c r="D363" s="183" t="s">
        <v>319</v>
      </c>
      <c r="E363" s="59">
        <f>SUM(E364,E365,E366,E367)</f>
        <v>305354</v>
      </c>
      <c r="F363" s="59">
        <f>SUM(F364,F365,F366,F367)</f>
        <v>142916.28999999998</v>
      </c>
      <c r="G363" s="28">
        <f t="shared" si="18"/>
        <v>46.80347727555558</v>
      </c>
    </row>
    <row r="364" spans="1:7" ht="21" customHeight="1">
      <c r="A364" s="70"/>
      <c r="B364" s="71"/>
      <c r="C364" s="55" t="s">
        <v>678</v>
      </c>
      <c r="D364" s="38" t="s">
        <v>811</v>
      </c>
      <c r="E364" s="182">
        <v>16000</v>
      </c>
      <c r="F364" s="64">
        <v>8400.3</v>
      </c>
      <c r="G364" s="40">
        <f t="shared" si="18"/>
        <v>52.501875</v>
      </c>
    </row>
    <row r="365" spans="1:8" s="45" customFormat="1" ht="21.75" customHeight="1" hidden="1">
      <c r="A365" s="62"/>
      <c r="B365" s="63"/>
      <c r="C365" s="55" t="s">
        <v>680</v>
      </c>
      <c r="D365" s="61" t="s">
        <v>770</v>
      </c>
      <c r="E365" s="182">
        <v>0</v>
      </c>
      <c r="F365" s="64">
        <v>0</v>
      </c>
      <c r="G365" s="40" t="e">
        <f t="shared" si="18"/>
        <v>#DIV/0!</v>
      </c>
      <c r="H365" s="154"/>
    </row>
    <row r="366" spans="1:8" s="35" customFormat="1" ht="69" customHeight="1">
      <c r="A366" s="62"/>
      <c r="B366" s="63"/>
      <c r="C366" s="37">
        <v>2010</v>
      </c>
      <c r="D366" s="38" t="s">
        <v>1376</v>
      </c>
      <c r="E366" s="182">
        <v>289104</v>
      </c>
      <c r="F366" s="64">
        <v>134408</v>
      </c>
      <c r="G366" s="40">
        <f t="shared" si="18"/>
        <v>46.49122807017544</v>
      </c>
      <c r="H366" s="155"/>
    </row>
    <row r="367" spans="1:8" s="35" customFormat="1" ht="69" customHeight="1">
      <c r="A367" s="62"/>
      <c r="B367" s="63"/>
      <c r="C367" s="37">
        <v>2360</v>
      </c>
      <c r="D367" s="38" t="s">
        <v>457</v>
      </c>
      <c r="E367" s="182">
        <v>250</v>
      </c>
      <c r="F367" s="64">
        <v>107.99</v>
      </c>
      <c r="G367" s="40">
        <f t="shared" si="18"/>
        <v>43.196</v>
      </c>
      <c r="H367" s="155"/>
    </row>
    <row r="368" spans="1:8" s="45" customFormat="1" ht="21.75" customHeight="1" hidden="1">
      <c r="A368" s="70"/>
      <c r="B368" s="71" t="s">
        <v>526</v>
      </c>
      <c r="C368" s="72"/>
      <c r="D368" s="183" t="s">
        <v>527</v>
      </c>
      <c r="E368" s="59">
        <f>SUM(E369,E372)</f>
        <v>0</v>
      </c>
      <c r="F368" s="59">
        <f>SUM(F369,F372)</f>
        <v>0</v>
      </c>
      <c r="G368" s="28" t="e">
        <f t="shared" si="18"/>
        <v>#DIV/0!</v>
      </c>
      <c r="H368" s="154"/>
    </row>
    <row r="369" spans="1:8" s="45" customFormat="1" ht="21.75" customHeight="1" hidden="1">
      <c r="A369" s="62"/>
      <c r="B369" s="63"/>
      <c r="C369" s="55" t="s">
        <v>680</v>
      </c>
      <c r="D369" s="61" t="s">
        <v>770</v>
      </c>
      <c r="E369" s="182">
        <v>0</v>
      </c>
      <c r="F369" s="64">
        <v>0</v>
      </c>
      <c r="G369" s="40" t="e">
        <f t="shared" si="18"/>
        <v>#DIV/0!</v>
      </c>
      <c r="H369" s="154"/>
    </row>
    <row r="370" spans="1:8" s="45" customFormat="1" ht="30.75" customHeight="1">
      <c r="A370" s="62"/>
      <c r="B370" s="71" t="s">
        <v>416</v>
      </c>
      <c r="C370" s="72"/>
      <c r="D370" s="183" t="s">
        <v>987</v>
      </c>
      <c r="E370" s="59">
        <f>SUM(E371)</f>
        <v>3000</v>
      </c>
      <c r="F370" s="59">
        <f>SUM(F371)</f>
        <v>1629.76</v>
      </c>
      <c r="G370" s="40">
        <f>F370/E370*100</f>
        <v>54.32533333333333</v>
      </c>
      <c r="H370" s="154"/>
    </row>
    <row r="371" spans="1:8" s="45" customFormat="1" ht="68.25" customHeight="1">
      <c r="A371" s="62"/>
      <c r="B371" s="63"/>
      <c r="C371" s="55" t="s">
        <v>961</v>
      </c>
      <c r="D371" s="38" t="s">
        <v>566</v>
      </c>
      <c r="E371" s="182">
        <v>3000</v>
      </c>
      <c r="F371" s="64">
        <v>1629.76</v>
      </c>
      <c r="G371" s="40">
        <f>F371/E371*100</f>
        <v>54.32533333333333</v>
      </c>
      <c r="H371" s="154"/>
    </row>
    <row r="372" spans="1:8" s="45" customFormat="1" ht="51" customHeight="1" hidden="1">
      <c r="A372" s="62"/>
      <c r="B372" s="63"/>
      <c r="C372" s="55" t="s">
        <v>723</v>
      </c>
      <c r="D372" s="61" t="s">
        <v>163</v>
      </c>
      <c r="E372" s="182">
        <v>0</v>
      </c>
      <c r="F372" s="182">
        <v>0</v>
      </c>
      <c r="G372" s="40" t="e">
        <f>F372/E372*100</f>
        <v>#DIV/0!</v>
      </c>
      <c r="H372" s="154"/>
    </row>
    <row r="373" spans="1:8" s="45" customFormat="1" ht="20.25" customHeight="1" hidden="1">
      <c r="A373" s="70"/>
      <c r="B373" s="71" t="s">
        <v>164</v>
      </c>
      <c r="C373" s="169"/>
      <c r="D373" s="183" t="s">
        <v>165</v>
      </c>
      <c r="E373" s="163">
        <f>SUM(E374,E375,E376)</f>
        <v>0</v>
      </c>
      <c r="F373" s="163">
        <f>SUM(F374,F375,F376)</f>
        <v>0</v>
      </c>
      <c r="G373" s="28" t="e">
        <f aca="true" t="shared" si="19" ref="G373:G393">F373/E373*100</f>
        <v>#DIV/0!</v>
      </c>
      <c r="H373" s="154"/>
    </row>
    <row r="374" spans="1:8" s="45" customFormat="1" ht="21.75" customHeight="1" hidden="1">
      <c r="A374" s="62"/>
      <c r="B374" s="63"/>
      <c r="C374" s="55" t="s">
        <v>680</v>
      </c>
      <c r="D374" s="61" t="s">
        <v>770</v>
      </c>
      <c r="E374" s="182">
        <v>0</v>
      </c>
      <c r="F374" s="64">
        <v>0</v>
      </c>
      <c r="G374" s="40" t="e">
        <f t="shared" si="19"/>
        <v>#DIV/0!</v>
      </c>
      <c r="H374" s="154"/>
    </row>
    <row r="375" spans="1:8" s="45" customFormat="1" ht="42" customHeight="1" hidden="1">
      <c r="A375" s="62"/>
      <c r="B375" s="63"/>
      <c r="C375" s="55" t="s">
        <v>434</v>
      </c>
      <c r="D375" s="61" t="s">
        <v>320</v>
      </c>
      <c r="E375" s="182">
        <v>0</v>
      </c>
      <c r="F375" s="182">
        <v>0</v>
      </c>
      <c r="G375" s="40" t="e">
        <f t="shared" si="19"/>
        <v>#DIV/0!</v>
      </c>
      <c r="H375" s="154"/>
    </row>
    <row r="376" spans="1:8" s="45" customFormat="1" ht="66.75" customHeight="1" hidden="1">
      <c r="A376" s="62"/>
      <c r="B376" s="63"/>
      <c r="C376" s="55" t="s">
        <v>961</v>
      </c>
      <c r="D376" s="38" t="s">
        <v>566</v>
      </c>
      <c r="E376" s="182">
        <v>0</v>
      </c>
      <c r="F376" s="64">
        <v>0</v>
      </c>
      <c r="G376" s="40" t="e">
        <f>F376/E376*100</f>
        <v>#DIV/0!</v>
      </c>
      <c r="H376" s="154"/>
    </row>
    <row r="377" spans="1:7" ht="22.5" customHeight="1" hidden="1">
      <c r="A377" s="70"/>
      <c r="B377" s="71" t="s">
        <v>1316</v>
      </c>
      <c r="C377" s="72"/>
      <c r="D377" s="192" t="s">
        <v>1318</v>
      </c>
      <c r="E377" s="163">
        <f>SUM(E378)</f>
        <v>0</v>
      </c>
      <c r="F377" s="163">
        <f>SUM(F378)</f>
        <v>0</v>
      </c>
      <c r="G377" s="28" t="e">
        <f>F377/E377*100</f>
        <v>#DIV/0!</v>
      </c>
    </row>
    <row r="378" spans="1:7" ht="88.5" customHeight="1" hidden="1">
      <c r="A378" s="70"/>
      <c r="B378" s="71"/>
      <c r="C378" s="63" t="s">
        <v>1317</v>
      </c>
      <c r="D378" s="38" t="s">
        <v>1394</v>
      </c>
      <c r="E378" s="182">
        <v>0</v>
      </c>
      <c r="F378" s="182">
        <v>0</v>
      </c>
      <c r="G378" s="40" t="e">
        <f>F378/E378*100</f>
        <v>#DIV/0!</v>
      </c>
    </row>
    <row r="379" spans="1:7" ht="45" customHeight="1" hidden="1">
      <c r="A379" s="70"/>
      <c r="B379" s="71" t="s">
        <v>442</v>
      </c>
      <c r="C379" s="72"/>
      <c r="D379" s="192" t="s">
        <v>854</v>
      </c>
      <c r="E379" s="163">
        <f>SUM(E380,E381,E382,E383,E384,E385,E386)</f>
        <v>0</v>
      </c>
      <c r="F379" s="163">
        <f>SUM(F380,F381,F382,F383,F384,F385,F386)</f>
        <v>0</v>
      </c>
      <c r="G379" s="28" t="e">
        <f t="shared" si="19"/>
        <v>#DIV/0!</v>
      </c>
    </row>
    <row r="380" spans="1:7" ht="18" customHeight="1" hidden="1">
      <c r="A380" s="70"/>
      <c r="B380" s="71"/>
      <c r="C380" s="63" t="s">
        <v>682</v>
      </c>
      <c r="D380" s="38" t="s">
        <v>767</v>
      </c>
      <c r="E380" s="182">
        <v>0</v>
      </c>
      <c r="F380" s="182">
        <v>0</v>
      </c>
      <c r="G380" s="40" t="e">
        <f t="shared" si="19"/>
        <v>#DIV/0!</v>
      </c>
    </row>
    <row r="381" spans="1:8" s="35" customFormat="1" ht="18.75" customHeight="1" hidden="1">
      <c r="A381" s="62"/>
      <c r="B381" s="63"/>
      <c r="C381" s="63" t="s">
        <v>679</v>
      </c>
      <c r="D381" s="32" t="s">
        <v>1377</v>
      </c>
      <c r="E381" s="64">
        <v>0</v>
      </c>
      <c r="F381" s="64">
        <v>0</v>
      </c>
      <c r="G381" s="40" t="e">
        <f t="shared" si="19"/>
        <v>#DIV/0!</v>
      </c>
      <c r="H381" s="155"/>
    </row>
    <row r="382" spans="1:7" ht="18" customHeight="1" hidden="1">
      <c r="A382" s="70"/>
      <c r="B382" s="71"/>
      <c r="C382" s="55" t="s">
        <v>680</v>
      </c>
      <c r="D382" s="38" t="s">
        <v>770</v>
      </c>
      <c r="E382" s="64">
        <v>0</v>
      </c>
      <c r="F382" s="64">
        <v>0</v>
      </c>
      <c r="G382" s="40" t="e">
        <f t="shared" si="19"/>
        <v>#DIV/0!</v>
      </c>
    </row>
    <row r="383" spans="1:7" ht="29.25" customHeight="1" hidden="1">
      <c r="A383" s="70"/>
      <c r="B383" s="71"/>
      <c r="C383" s="55" t="s">
        <v>411</v>
      </c>
      <c r="D383" s="38" t="s">
        <v>412</v>
      </c>
      <c r="E383" s="64">
        <v>0</v>
      </c>
      <c r="F383" s="64">
        <v>0</v>
      </c>
      <c r="G383" s="40" t="e">
        <f t="shared" si="19"/>
        <v>#DIV/0!</v>
      </c>
    </row>
    <row r="384" spans="1:8" s="194" customFormat="1" ht="69" customHeight="1" hidden="1">
      <c r="A384" s="62"/>
      <c r="B384" s="63"/>
      <c r="C384" s="37">
        <v>2010</v>
      </c>
      <c r="D384" s="38" t="s">
        <v>1376</v>
      </c>
      <c r="E384" s="64">
        <v>0</v>
      </c>
      <c r="F384" s="64">
        <v>0</v>
      </c>
      <c r="G384" s="40" t="e">
        <f t="shared" si="19"/>
        <v>#DIV/0!</v>
      </c>
      <c r="H384" s="193"/>
    </row>
    <row r="385" spans="1:8" s="194" customFormat="1" ht="58.5" customHeight="1" hidden="1">
      <c r="A385" s="62"/>
      <c r="B385" s="63"/>
      <c r="C385" s="37">
        <v>2360</v>
      </c>
      <c r="D385" s="38" t="s">
        <v>457</v>
      </c>
      <c r="E385" s="64">
        <v>0</v>
      </c>
      <c r="F385" s="64">
        <v>0</v>
      </c>
      <c r="G385" s="40" t="e">
        <f t="shared" si="19"/>
        <v>#DIV/0!</v>
      </c>
      <c r="H385" s="193"/>
    </row>
    <row r="386" spans="1:8" s="194" customFormat="1" ht="68.25" customHeight="1" hidden="1">
      <c r="A386" s="62"/>
      <c r="B386" s="63"/>
      <c r="C386" s="37">
        <v>2910</v>
      </c>
      <c r="D386" s="38" t="s">
        <v>566</v>
      </c>
      <c r="E386" s="64">
        <v>0</v>
      </c>
      <c r="F386" s="64">
        <v>0</v>
      </c>
      <c r="G386" s="40" t="e">
        <f t="shared" si="19"/>
        <v>#DIV/0!</v>
      </c>
      <c r="H386" s="193"/>
    </row>
    <row r="387" spans="1:7" ht="69" customHeight="1">
      <c r="A387" s="70"/>
      <c r="B387" s="71" t="s">
        <v>443</v>
      </c>
      <c r="C387" s="72"/>
      <c r="D387" s="26" t="s">
        <v>891</v>
      </c>
      <c r="E387" s="59">
        <f>SUM(E388,E389,E390,E391)</f>
        <v>193000</v>
      </c>
      <c r="F387" s="59">
        <f>SUM(F388,F389,F390,F391)</f>
        <v>117605.18</v>
      </c>
      <c r="G387" s="28">
        <f t="shared" si="19"/>
        <v>60.93532642487046</v>
      </c>
    </row>
    <row r="388" spans="1:8" s="35" customFormat="1" ht="21" customHeight="1" hidden="1">
      <c r="A388" s="62"/>
      <c r="B388" s="63"/>
      <c r="C388" s="55" t="s">
        <v>680</v>
      </c>
      <c r="D388" s="38" t="s">
        <v>770</v>
      </c>
      <c r="E388" s="64">
        <v>0</v>
      </c>
      <c r="F388" s="64">
        <v>0</v>
      </c>
      <c r="G388" s="40" t="e">
        <f t="shared" si="19"/>
        <v>#DIV/0!</v>
      </c>
      <c r="H388" s="155"/>
    </row>
    <row r="389" spans="1:8" s="35" customFormat="1" ht="70.5" customHeight="1">
      <c r="A389" s="62"/>
      <c r="B389" s="63"/>
      <c r="C389" s="37">
        <v>2010</v>
      </c>
      <c r="D389" s="38" t="s">
        <v>1376</v>
      </c>
      <c r="E389" s="64">
        <v>102000</v>
      </c>
      <c r="F389" s="64">
        <v>68500</v>
      </c>
      <c r="G389" s="40">
        <f t="shared" si="19"/>
        <v>67.15686274509804</v>
      </c>
      <c r="H389" s="155"/>
    </row>
    <row r="390" spans="1:8" s="35" customFormat="1" ht="52.5" customHeight="1">
      <c r="A390" s="62"/>
      <c r="B390" s="63"/>
      <c r="C390" s="37">
        <v>2030</v>
      </c>
      <c r="D390" s="38" t="s">
        <v>1393</v>
      </c>
      <c r="E390" s="64">
        <v>88000</v>
      </c>
      <c r="F390" s="64">
        <v>48998</v>
      </c>
      <c r="G390" s="40">
        <f t="shared" si="19"/>
        <v>55.679545454545455</v>
      </c>
      <c r="H390" s="155"/>
    </row>
    <row r="391" spans="1:8" s="194" customFormat="1" ht="68.25" customHeight="1">
      <c r="A391" s="62"/>
      <c r="B391" s="63"/>
      <c r="C391" s="37">
        <v>2910</v>
      </c>
      <c r="D391" s="38" t="s">
        <v>566</v>
      </c>
      <c r="E391" s="64">
        <v>3000</v>
      </c>
      <c r="F391" s="64">
        <v>107.18</v>
      </c>
      <c r="G391" s="40">
        <f t="shared" si="19"/>
        <v>3.572666666666667</v>
      </c>
      <c r="H391" s="193"/>
    </row>
    <row r="392" spans="1:7" ht="32.25" customHeight="1">
      <c r="A392" s="62"/>
      <c r="B392" s="71" t="s">
        <v>444</v>
      </c>
      <c r="C392" s="37"/>
      <c r="D392" s="26" t="s">
        <v>368</v>
      </c>
      <c r="E392" s="59">
        <f>SUM(E394,E395,E396,E397,E398)</f>
        <v>155000</v>
      </c>
      <c r="F392" s="59">
        <f>SUM(F394,F395,F396,F397,F398)</f>
        <v>114928.04</v>
      </c>
      <c r="G392" s="28">
        <f t="shared" si="19"/>
        <v>74.14712258064515</v>
      </c>
    </row>
    <row r="393" spans="1:7" ht="32.25" customHeight="1" hidden="1">
      <c r="A393" s="62"/>
      <c r="B393" s="71"/>
      <c r="C393" s="55" t="s">
        <v>300</v>
      </c>
      <c r="D393" s="38" t="s">
        <v>770</v>
      </c>
      <c r="E393" s="64">
        <v>0</v>
      </c>
      <c r="F393" s="64">
        <v>0</v>
      </c>
      <c r="G393" s="40" t="e">
        <f t="shared" si="19"/>
        <v>#DIV/0!</v>
      </c>
    </row>
    <row r="394" spans="1:7" ht="32.25" customHeight="1">
      <c r="A394" s="62"/>
      <c r="B394" s="71"/>
      <c r="C394" s="55" t="s">
        <v>1414</v>
      </c>
      <c r="D394" s="38" t="s">
        <v>1415</v>
      </c>
      <c r="E394" s="64">
        <v>0</v>
      </c>
      <c r="F394" s="64">
        <v>428.04</v>
      </c>
      <c r="G394" s="40" t="e">
        <f>F394/E394*100</f>
        <v>#DIV/0!</v>
      </c>
    </row>
    <row r="395" spans="1:8" s="35" customFormat="1" ht="21" customHeight="1" hidden="1">
      <c r="A395" s="62"/>
      <c r="B395" s="63"/>
      <c r="C395" s="55" t="s">
        <v>680</v>
      </c>
      <c r="D395" s="38" t="s">
        <v>770</v>
      </c>
      <c r="E395" s="64">
        <v>0</v>
      </c>
      <c r="F395" s="64">
        <v>0</v>
      </c>
      <c r="G395" s="40" t="e">
        <f aca="true" t="shared" si="20" ref="G395:G409">F395/E395*100</f>
        <v>#DIV/0!</v>
      </c>
      <c r="H395" s="155"/>
    </row>
    <row r="396" spans="1:8" s="35" customFormat="1" ht="57" customHeight="1" hidden="1">
      <c r="A396" s="62"/>
      <c r="B396" s="63"/>
      <c r="C396" s="37">
        <v>2010</v>
      </c>
      <c r="D396" s="38" t="s">
        <v>314</v>
      </c>
      <c r="E396" s="64">
        <v>0</v>
      </c>
      <c r="F396" s="64">
        <v>0</v>
      </c>
      <c r="G396" s="40" t="e">
        <f t="shared" si="20"/>
        <v>#DIV/0!</v>
      </c>
      <c r="H396" s="155"/>
    </row>
    <row r="397" spans="1:8" s="35" customFormat="1" ht="60" customHeight="1">
      <c r="A397" s="62"/>
      <c r="B397" s="63"/>
      <c r="C397" s="37">
        <v>2030</v>
      </c>
      <c r="D397" s="38" t="s">
        <v>1393</v>
      </c>
      <c r="E397" s="64">
        <v>152000</v>
      </c>
      <c r="F397" s="64">
        <v>114000</v>
      </c>
      <c r="G397" s="40">
        <f t="shared" si="20"/>
        <v>75</v>
      </c>
      <c r="H397" s="155"/>
    </row>
    <row r="398" spans="1:8" s="35" customFormat="1" ht="69" customHeight="1">
      <c r="A398" s="62"/>
      <c r="B398" s="63"/>
      <c r="C398" s="37">
        <v>2910</v>
      </c>
      <c r="D398" s="38" t="s">
        <v>566</v>
      </c>
      <c r="E398" s="64">
        <v>3000</v>
      </c>
      <c r="F398" s="64">
        <v>500</v>
      </c>
      <c r="G398" s="40">
        <f t="shared" si="20"/>
        <v>16.666666666666664</v>
      </c>
      <c r="H398" s="155"/>
    </row>
    <row r="399" spans="1:7" ht="20.25" customHeight="1">
      <c r="A399" s="62"/>
      <c r="B399" s="71" t="s">
        <v>445</v>
      </c>
      <c r="C399" s="37"/>
      <c r="D399" s="26" t="s">
        <v>30</v>
      </c>
      <c r="E399" s="59">
        <f>SUM(E400,E401)</f>
        <v>20573.41</v>
      </c>
      <c r="F399" s="59">
        <f>SUM(F400,F401)</f>
        <v>15134.67</v>
      </c>
      <c r="G399" s="40">
        <f t="shared" si="20"/>
        <v>73.5642268345403</v>
      </c>
    </row>
    <row r="400" spans="1:8" s="35" customFormat="1" ht="21" customHeight="1" hidden="1">
      <c r="A400" s="62"/>
      <c r="B400" s="63"/>
      <c r="C400" s="55" t="s">
        <v>680</v>
      </c>
      <c r="D400" s="38" t="s">
        <v>770</v>
      </c>
      <c r="E400" s="64">
        <v>0</v>
      </c>
      <c r="F400" s="64">
        <v>0</v>
      </c>
      <c r="G400" s="40" t="e">
        <f t="shared" si="20"/>
        <v>#DIV/0!</v>
      </c>
      <c r="H400" s="155"/>
    </row>
    <row r="401" spans="1:8" s="35" customFormat="1" ht="66.75" customHeight="1">
      <c r="A401" s="62"/>
      <c r="B401" s="63"/>
      <c r="C401" s="37">
        <v>2010</v>
      </c>
      <c r="D401" s="38" t="s">
        <v>1376</v>
      </c>
      <c r="E401" s="64">
        <v>20573.41</v>
      </c>
      <c r="F401" s="64">
        <v>15134.67</v>
      </c>
      <c r="G401" s="40">
        <f t="shared" si="20"/>
        <v>73.5642268345403</v>
      </c>
      <c r="H401" s="155"/>
    </row>
    <row r="402" spans="1:7" ht="20.25" customHeight="1">
      <c r="A402" s="62"/>
      <c r="B402" s="71" t="s">
        <v>413</v>
      </c>
      <c r="C402" s="37"/>
      <c r="D402" s="26" t="s">
        <v>1120</v>
      </c>
      <c r="E402" s="59">
        <f>SUM(E403,E404,E405)</f>
        <v>748000</v>
      </c>
      <c r="F402" s="59">
        <f>SUM(F403,F404,F405)</f>
        <v>556339.5</v>
      </c>
      <c r="G402" s="28">
        <f t="shared" si="20"/>
        <v>74.3769385026738</v>
      </c>
    </row>
    <row r="403" spans="1:7" ht="27.75" customHeight="1">
      <c r="A403" s="62"/>
      <c r="B403" s="71"/>
      <c r="C403" s="55" t="s">
        <v>1414</v>
      </c>
      <c r="D403" s="38" t="s">
        <v>1415</v>
      </c>
      <c r="E403" s="64">
        <v>0</v>
      </c>
      <c r="F403" s="64">
        <v>68.01</v>
      </c>
      <c r="G403" s="40" t="e">
        <f t="shared" si="20"/>
        <v>#DIV/0!</v>
      </c>
    </row>
    <row r="404" spans="1:8" s="35" customFormat="1" ht="55.5" customHeight="1">
      <c r="A404" s="62"/>
      <c r="B404" s="63"/>
      <c r="C404" s="55" t="s">
        <v>434</v>
      </c>
      <c r="D404" s="38" t="s">
        <v>1393</v>
      </c>
      <c r="E404" s="64">
        <v>736000</v>
      </c>
      <c r="F404" s="64">
        <v>552000</v>
      </c>
      <c r="G404" s="40">
        <f t="shared" si="20"/>
        <v>75</v>
      </c>
      <c r="H404" s="155"/>
    </row>
    <row r="405" spans="1:8" s="35" customFormat="1" ht="68.25" customHeight="1">
      <c r="A405" s="62"/>
      <c r="B405" s="63"/>
      <c r="C405" s="37">
        <v>2910</v>
      </c>
      <c r="D405" s="38" t="s">
        <v>566</v>
      </c>
      <c r="E405" s="64">
        <v>12000</v>
      </c>
      <c r="F405" s="64">
        <v>4271.49</v>
      </c>
      <c r="G405" s="40">
        <f t="shared" si="20"/>
        <v>35.595749999999995</v>
      </c>
      <c r="H405" s="155"/>
    </row>
    <row r="406" spans="1:7" ht="21.75" customHeight="1">
      <c r="A406" s="70"/>
      <c r="B406" s="71" t="s">
        <v>446</v>
      </c>
      <c r="C406" s="72"/>
      <c r="D406" s="26" t="s">
        <v>31</v>
      </c>
      <c r="E406" s="59">
        <f>SUM(E407,E408,E409,E410,E411)</f>
        <v>472618</v>
      </c>
      <c r="F406" s="59">
        <f>SUM(F407,F408,F409,F410,F411)</f>
        <v>239403.19</v>
      </c>
      <c r="G406" s="28">
        <f t="shared" si="20"/>
        <v>50.654691526772154</v>
      </c>
    </row>
    <row r="407" spans="1:8" s="35" customFormat="1" ht="21.75" customHeight="1">
      <c r="A407" s="62"/>
      <c r="B407" s="63"/>
      <c r="C407" s="55" t="s">
        <v>679</v>
      </c>
      <c r="D407" s="79" t="s">
        <v>1377</v>
      </c>
      <c r="E407" s="64">
        <v>0</v>
      </c>
      <c r="F407" s="64">
        <v>0.06</v>
      </c>
      <c r="G407" s="40" t="e">
        <f t="shared" si="20"/>
        <v>#DIV/0!</v>
      </c>
      <c r="H407" s="155"/>
    </row>
    <row r="408" spans="1:7" ht="27.75" customHeight="1">
      <c r="A408" s="62"/>
      <c r="B408" s="71"/>
      <c r="C408" s="55" t="s">
        <v>1414</v>
      </c>
      <c r="D408" s="38" t="s">
        <v>1415</v>
      </c>
      <c r="E408" s="64">
        <v>0</v>
      </c>
      <c r="F408" s="64">
        <v>124.51</v>
      </c>
      <c r="G408" s="40" t="e">
        <f>F408/E408*100</f>
        <v>#DIV/0!</v>
      </c>
    </row>
    <row r="409" spans="1:7" ht="21.75" customHeight="1">
      <c r="A409" s="70"/>
      <c r="B409" s="71"/>
      <c r="C409" s="55" t="s">
        <v>680</v>
      </c>
      <c r="D409" s="38" t="s">
        <v>770</v>
      </c>
      <c r="E409" s="64">
        <v>0</v>
      </c>
      <c r="F409" s="64">
        <v>660.62</v>
      </c>
      <c r="G409" s="40" t="e">
        <f t="shared" si="20"/>
        <v>#DIV/0!</v>
      </c>
    </row>
    <row r="410" spans="1:7" ht="67.5" customHeight="1">
      <c r="A410" s="62"/>
      <c r="B410" s="63"/>
      <c r="C410" s="55" t="s">
        <v>449</v>
      </c>
      <c r="D410" s="38" t="s">
        <v>1376</v>
      </c>
      <c r="E410" s="64">
        <v>4618</v>
      </c>
      <c r="F410" s="64">
        <v>4618</v>
      </c>
      <c r="G410" s="40">
        <f>F410/E410*100</f>
        <v>100</v>
      </c>
    </row>
    <row r="411" spans="1:8" s="35" customFormat="1" ht="51.75" customHeight="1">
      <c r="A411" s="62"/>
      <c r="B411" s="63"/>
      <c r="C411" s="55" t="s">
        <v>434</v>
      </c>
      <c r="D411" s="38" t="s">
        <v>1393</v>
      </c>
      <c r="E411" s="64">
        <v>468000</v>
      </c>
      <c r="F411" s="64">
        <v>234000</v>
      </c>
      <c r="G411" s="40">
        <f>F411/E411*100</f>
        <v>50</v>
      </c>
      <c r="H411" s="155"/>
    </row>
    <row r="412" spans="1:7" ht="40.5" customHeight="1" hidden="1">
      <c r="A412" s="70"/>
      <c r="B412" s="71" t="s">
        <v>495</v>
      </c>
      <c r="C412" s="169"/>
      <c r="D412" s="73" t="s">
        <v>496</v>
      </c>
      <c r="E412" s="59">
        <f>SUM(E413)</f>
        <v>0</v>
      </c>
      <c r="F412" s="59">
        <f>SUM(F413)</f>
        <v>0</v>
      </c>
      <c r="G412" s="28" t="e">
        <f aca="true" t="shared" si="21" ref="G412:G424">F412/E412*100</f>
        <v>#DIV/0!</v>
      </c>
    </row>
    <row r="413" spans="1:8" s="35" customFormat="1" ht="21" customHeight="1" hidden="1">
      <c r="A413" s="62"/>
      <c r="B413" s="63"/>
      <c r="C413" s="55" t="s">
        <v>680</v>
      </c>
      <c r="D413" s="38" t="s">
        <v>770</v>
      </c>
      <c r="E413" s="64">
        <v>0</v>
      </c>
      <c r="F413" s="64">
        <v>0</v>
      </c>
      <c r="G413" s="40" t="e">
        <f t="shared" si="21"/>
        <v>#DIV/0!</v>
      </c>
      <c r="H413" s="155"/>
    </row>
    <row r="414" spans="1:7" ht="26.25" customHeight="1">
      <c r="A414" s="70"/>
      <c r="B414" s="71" t="s">
        <v>448</v>
      </c>
      <c r="C414" s="72"/>
      <c r="D414" s="26" t="s">
        <v>34</v>
      </c>
      <c r="E414" s="59">
        <f>SUM(E415,E416,E417,E418)</f>
        <v>221677</v>
      </c>
      <c r="F414" s="59">
        <f>SUM(F415,F416,F417,F418)</f>
        <v>117335.69000000002</v>
      </c>
      <c r="G414" s="28">
        <f t="shared" si="21"/>
        <v>52.93092652823703</v>
      </c>
    </row>
    <row r="415" spans="1:8" s="35" customFormat="1" ht="17.25" customHeight="1">
      <c r="A415" s="62"/>
      <c r="B415" s="63"/>
      <c r="C415" s="55" t="s">
        <v>678</v>
      </c>
      <c r="D415" s="32" t="s">
        <v>811</v>
      </c>
      <c r="E415" s="64">
        <v>89000</v>
      </c>
      <c r="F415" s="64">
        <v>48691.98</v>
      </c>
      <c r="G415" s="40">
        <f t="shared" si="21"/>
        <v>54.71008988764046</v>
      </c>
      <c r="H415" s="155"/>
    </row>
    <row r="416" spans="1:8" s="35" customFormat="1" ht="17.25" customHeight="1" hidden="1">
      <c r="A416" s="62"/>
      <c r="B416" s="63"/>
      <c r="C416" s="55" t="s">
        <v>679</v>
      </c>
      <c r="D416" s="79" t="s">
        <v>809</v>
      </c>
      <c r="E416" s="64">
        <v>0</v>
      </c>
      <c r="F416" s="64">
        <v>0</v>
      </c>
      <c r="G416" s="40" t="e">
        <f t="shared" si="21"/>
        <v>#DIV/0!</v>
      </c>
      <c r="H416" s="155"/>
    </row>
    <row r="417" spans="1:7" ht="66.75" customHeight="1">
      <c r="A417" s="62"/>
      <c r="B417" s="63"/>
      <c r="C417" s="55" t="s">
        <v>449</v>
      </c>
      <c r="D417" s="38" t="s">
        <v>1376</v>
      </c>
      <c r="E417" s="64">
        <v>132527</v>
      </c>
      <c r="F417" s="64">
        <v>68362</v>
      </c>
      <c r="G417" s="40">
        <f t="shared" si="21"/>
        <v>51.58345091943528</v>
      </c>
    </row>
    <row r="418" spans="1:8" s="194" customFormat="1" ht="58.5" customHeight="1">
      <c r="A418" s="62"/>
      <c r="B418" s="63"/>
      <c r="C418" s="37">
        <v>2360</v>
      </c>
      <c r="D418" s="38" t="s">
        <v>457</v>
      </c>
      <c r="E418" s="64">
        <v>150</v>
      </c>
      <c r="F418" s="64">
        <v>281.71</v>
      </c>
      <c r="G418" s="40">
        <f t="shared" si="21"/>
        <v>187.80666666666664</v>
      </c>
      <c r="H418" s="193"/>
    </row>
    <row r="419" spans="1:7" ht="23.25" customHeight="1">
      <c r="A419" s="70"/>
      <c r="B419" s="71" t="s">
        <v>1428</v>
      </c>
      <c r="C419" s="169"/>
      <c r="D419" s="73" t="s">
        <v>1429</v>
      </c>
      <c r="E419" s="59">
        <f>SUM(E420,E421)</f>
        <v>423000</v>
      </c>
      <c r="F419" s="59">
        <f>SUM(F420,F421)</f>
        <v>360811.8</v>
      </c>
      <c r="G419" s="28">
        <f>F419/E419*100</f>
        <v>85.29829787234043</v>
      </c>
    </row>
    <row r="420" spans="1:8" s="35" customFormat="1" ht="53.25" customHeight="1">
      <c r="A420" s="62"/>
      <c r="B420" s="63"/>
      <c r="C420" s="55" t="s">
        <v>434</v>
      </c>
      <c r="D420" s="38" t="s">
        <v>1393</v>
      </c>
      <c r="E420" s="64">
        <v>420000</v>
      </c>
      <c r="F420" s="64">
        <v>360000</v>
      </c>
      <c r="G420" s="40">
        <f>F420/E420*100</f>
        <v>85.71428571428571</v>
      </c>
      <c r="H420" s="155"/>
    </row>
    <row r="421" spans="1:8" s="194" customFormat="1" ht="73.5" customHeight="1">
      <c r="A421" s="62"/>
      <c r="B421" s="63"/>
      <c r="C421" s="37">
        <v>2910</v>
      </c>
      <c r="D421" s="38" t="s">
        <v>566</v>
      </c>
      <c r="E421" s="64">
        <v>3000</v>
      </c>
      <c r="F421" s="64">
        <v>811.8</v>
      </c>
      <c r="G421" s="40">
        <f>F421/E421*100</f>
        <v>27.060000000000002</v>
      </c>
      <c r="H421" s="193"/>
    </row>
    <row r="422" spans="1:7" ht="24" customHeight="1" hidden="1">
      <c r="A422" s="70"/>
      <c r="B422" s="71" t="s">
        <v>1028</v>
      </c>
      <c r="C422" s="169"/>
      <c r="D422" s="73" t="s">
        <v>1115</v>
      </c>
      <c r="E422" s="59">
        <f>SUM(E423)</f>
        <v>0</v>
      </c>
      <c r="F422" s="59">
        <f>SUM(F423)</f>
        <v>0</v>
      </c>
      <c r="G422" s="28" t="e">
        <f t="shared" si="21"/>
        <v>#DIV/0!</v>
      </c>
    </row>
    <row r="423" spans="1:7" ht="56.25" customHeight="1" hidden="1">
      <c r="A423" s="62"/>
      <c r="B423" s="63"/>
      <c r="C423" s="55" t="s">
        <v>449</v>
      </c>
      <c r="D423" s="38" t="s">
        <v>314</v>
      </c>
      <c r="E423" s="64">
        <v>0</v>
      </c>
      <c r="F423" s="64">
        <v>0</v>
      </c>
      <c r="G423" s="40" t="e">
        <f t="shared" si="21"/>
        <v>#DIV/0!</v>
      </c>
    </row>
    <row r="424" spans="1:7" ht="18" customHeight="1">
      <c r="A424" s="70"/>
      <c r="B424" s="71" t="s">
        <v>450</v>
      </c>
      <c r="C424" s="169"/>
      <c r="D424" s="26" t="s">
        <v>176</v>
      </c>
      <c r="E424" s="59">
        <f>SUM(E425,E426,E427,E428,E429,E430)</f>
        <v>3000</v>
      </c>
      <c r="F424" s="59">
        <f>SUM(F425,F426,F427,F428,F429,F430)</f>
        <v>0</v>
      </c>
      <c r="G424" s="28">
        <f t="shared" si="21"/>
        <v>0</v>
      </c>
    </row>
    <row r="425" spans="1:8" s="35" customFormat="1" ht="30.75" customHeight="1" hidden="1">
      <c r="A425" s="62"/>
      <c r="B425" s="63"/>
      <c r="C425" s="55" t="s">
        <v>681</v>
      </c>
      <c r="D425" s="38" t="s">
        <v>357</v>
      </c>
      <c r="E425" s="64">
        <v>0</v>
      </c>
      <c r="F425" s="64">
        <v>0</v>
      </c>
      <c r="G425" s="40" t="e">
        <f aca="true" t="shared" si="22" ref="G425:G435">F425/E425*100</f>
        <v>#DIV/0!</v>
      </c>
      <c r="H425" s="155"/>
    </row>
    <row r="426" spans="1:8" s="35" customFormat="1" ht="55.5" customHeight="1" hidden="1">
      <c r="A426" s="62"/>
      <c r="B426" s="63"/>
      <c r="C426" s="55" t="s">
        <v>433</v>
      </c>
      <c r="D426" s="32" t="s">
        <v>327</v>
      </c>
      <c r="E426" s="64">
        <v>0</v>
      </c>
      <c r="F426" s="64">
        <v>0</v>
      </c>
      <c r="G426" s="40" t="e">
        <f t="shared" si="22"/>
        <v>#DIV/0!</v>
      </c>
      <c r="H426" s="155"/>
    </row>
    <row r="427" spans="1:7" ht="67.5" customHeight="1" hidden="1">
      <c r="A427" s="62"/>
      <c r="B427" s="63"/>
      <c r="C427" s="55" t="s">
        <v>449</v>
      </c>
      <c r="D427" s="38" t="s">
        <v>1376</v>
      </c>
      <c r="E427" s="64">
        <v>0</v>
      </c>
      <c r="F427" s="64">
        <v>0</v>
      </c>
      <c r="G427" s="40" t="e">
        <f>F427/E427*100</f>
        <v>#DIV/0!</v>
      </c>
    </row>
    <row r="428" spans="1:7" ht="42" customHeight="1" hidden="1">
      <c r="A428" s="62"/>
      <c r="B428" s="63"/>
      <c r="C428" s="55" t="s">
        <v>434</v>
      </c>
      <c r="D428" s="38" t="s">
        <v>1393</v>
      </c>
      <c r="E428" s="64">
        <v>0</v>
      </c>
      <c r="F428" s="64">
        <v>0</v>
      </c>
      <c r="G428" s="40" t="e">
        <f t="shared" si="22"/>
        <v>#DIV/0!</v>
      </c>
    </row>
    <row r="429" spans="1:8" s="35" customFormat="1" ht="68.25" customHeight="1">
      <c r="A429" s="62"/>
      <c r="B429" s="63"/>
      <c r="C429" s="37">
        <v>2910</v>
      </c>
      <c r="D429" s="38" t="s">
        <v>566</v>
      </c>
      <c r="E429" s="64">
        <v>3000</v>
      </c>
      <c r="F429" s="64">
        <v>0</v>
      </c>
      <c r="G429" s="40">
        <f t="shared" si="22"/>
        <v>0</v>
      </c>
      <c r="H429" s="155"/>
    </row>
    <row r="430" spans="1:7" ht="54.75" customHeight="1" hidden="1">
      <c r="A430" s="62"/>
      <c r="B430" s="63"/>
      <c r="C430" s="31" t="s">
        <v>436</v>
      </c>
      <c r="D430" s="32" t="s">
        <v>551</v>
      </c>
      <c r="E430" s="64">
        <v>0</v>
      </c>
      <c r="F430" s="64">
        <v>0</v>
      </c>
      <c r="G430" s="40" t="e">
        <f t="shared" si="22"/>
        <v>#DIV/0!</v>
      </c>
    </row>
    <row r="431" spans="1:8" s="45" customFormat="1" ht="30" customHeight="1">
      <c r="A431" s="76" t="s">
        <v>25</v>
      </c>
      <c r="B431" s="77"/>
      <c r="C431" s="195"/>
      <c r="D431" s="174" t="s">
        <v>710</v>
      </c>
      <c r="E431" s="57">
        <f>SUM(E432,E438,E440)</f>
        <v>40000</v>
      </c>
      <c r="F431" s="57">
        <f>SUM(F432,F438,F440)</f>
        <v>7284.66</v>
      </c>
      <c r="G431" s="22">
        <f t="shared" si="22"/>
        <v>18.21165</v>
      </c>
      <c r="H431" s="154"/>
    </row>
    <row r="432" spans="1:7" ht="21.75" customHeight="1" hidden="1">
      <c r="A432" s="70"/>
      <c r="B432" s="71" t="s">
        <v>26</v>
      </c>
      <c r="C432" s="169"/>
      <c r="D432" s="73" t="s">
        <v>711</v>
      </c>
      <c r="E432" s="59">
        <f>SUM(E433,E434,E435,E436,E437)</f>
        <v>0</v>
      </c>
      <c r="F432" s="59">
        <f>SUM(F433,F434,F435,F436,F437)</f>
        <v>0</v>
      </c>
      <c r="G432" s="28" t="e">
        <f t="shared" si="22"/>
        <v>#DIV/0!</v>
      </c>
    </row>
    <row r="433" spans="1:8" s="35" customFormat="1" ht="27" customHeight="1" hidden="1">
      <c r="A433" s="62"/>
      <c r="B433" s="63"/>
      <c r="C433" s="55" t="s">
        <v>356</v>
      </c>
      <c r="D433" s="32" t="s">
        <v>355</v>
      </c>
      <c r="E433" s="64">
        <v>0</v>
      </c>
      <c r="F433" s="64">
        <v>0</v>
      </c>
      <c r="G433" s="40" t="e">
        <f t="shared" si="22"/>
        <v>#DIV/0!</v>
      </c>
      <c r="H433" s="155"/>
    </row>
    <row r="434" spans="1:8" s="35" customFormat="1" ht="24" customHeight="1" hidden="1">
      <c r="A434" s="62"/>
      <c r="B434" s="63"/>
      <c r="C434" s="55" t="s">
        <v>678</v>
      </c>
      <c r="D434" s="38" t="s">
        <v>811</v>
      </c>
      <c r="E434" s="64">
        <v>0</v>
      </c>
      <c r="F434" s="64">
        <v>0</v>
      </c>
      <c r="G434" s="40" t="e">
        <f t="shared" si="22"/>
        <v>#DIV/0!</v>
      </c>
      <c r="H434" s="155"/>
    </row>
    <row r="435" spans="1:8" s="35" customFormat="1" ht="24" customHeight="1" hidden="1">
      <c r="A435" s="62"/>
      <c r="B435" s="63"/>
      <c r="C435" s="55" t="s">
        <v>679</v>
      </c>
      <c r="D435" s="32" t="s">
        <v>1377</v>
      </c>
      <c r="E435" s="64">
        <v>0</v>
      </c>
      <c r="F435" s="64">
        <v>0</v>
      </c>
      <c r="G435" s="40" t="e">
        <f t="shared" si="22"/>
        <v>#DIV/0!</v>
      </c>
      <c r="H435" s="155"/>
    </row>
    <row r="436" spans="1:8" s="35" customFormat="1" ht="24" customHeight="1" hidden="1">
      <c r="A436" s="62"/>
      <c r="B436" s="63"/>
      <c r="C436" s="55" t="s">
        <v>680</v>
      </c>
      <c r="D436" s="38" t="s">
        <v>770</v>
      </c>
      <c r="E436" s="64">
        <v>0</v>
      </c>
      <c r="F436" s="64">
        <v>0</v>
      </c>
      <c r="G436" s="28" t="s">
        <v>799</v>
      </c>
      <c r="H436" s="155"/>
    </row>
    <row r="437" spans="1:7" ht="42" customHeight="1" hidden="1">
      <c r="A437" s="62"/>
      <c r="B437" s="63"/>
      <c r="C437" s="55" t="s">
        <v>434</v>
      </c>
      <c r="D437" s="38" t="s">
        <v>1393</v>
      </c>
      <c r="E437" s="64">
        <v>0</v>
      </c>
      <c r="F437" s="64">
        <v>0</v>
      </c>
      <c r="G437" s="40" t="e">
        <f>F437/E437*100</f>
        <v>#DIV/0!</v>
      </c>
    </row>
    <row r="438" spans="1:7" ht="30" customHeight="1" hidden="1">
      <c r="A438" s="70"/>
      <c r="B438" s="71" t="s">
        <v>1058</v>
      </c>
      <c r="C438" s="169"/>
      <c r="D438" s="73" t="s">
        <v>1059</v>
      </c>
      <c r="E438" s="59">
        <f>SUM(E439)</f>
        <v>0</v>
      </c>
      <c r="F438" s="59">
        <f>SUM(F439)</f>
        <v>0</v>
      </c>
      <c r="G438" s="28" t="s">
        <v>799</v>
      </c>
    </row>
    <row r="439" spans="1:8" s="35" customFormat="1" ht="24" customHeight="1" hidden="1">
      <c r="A439" s="62"/>
      <c r="B439" s="63"/>
      <c r="C439" s="55" t="s">
        <v>680</v>
      </c>
      <c r="D439" s="38" t="s">
        <v>770</v>
      </c>
      <c r="E439" s="64">
        <v>0</v>
      </c>
      <c r="F439" s="64">
        <v>0</v>
      </c>
      <c r="G439" s="28" t="s">
        <v>799</v>
      </c>
      <c r="H439" s="155"/>
    </row>
    <row r="440" spans="1:7" ht="20.25" customHeight="1">
      <c r="A440" s="70"/>
      <c r="B440" s="71" t="s">
        <v>714</v>
      </c>
      <c r="C440" s="169"/>
      <c r="D440" s="26" t="s">
        <v>176</v>
      </c>
      <c r="E440" s="59">
        <f>SUM(E441,E442,E443,E444,E446,E448,E450,E451,E452)</f>
        <v>40000</v>
      </c>
      <c r="F440" s="59">
        <f>SUM(F441,F442,F443,F444,F446,F448,F450,F451,F452)</f>
        <v>7284.66</v>
      </c>
      <c r="G440" s="28">
        <f>F440/E440*100</f>
        <v>18.21165</v>
      </c>
    </row>
    <row r="441" spans="1:8" s="35" customFormat="1" ht="67.5" customHeight="1" hidden="1">
      <c r="A441" s="62"/>
      <c r="B441" s="63"/>
      <c r="C441" s="55" t="s">
        <v>409</v>
      </c>
      <c r="D441" s="61" t="s">
        <v>1395</v>
      </c>
      <c r="E441" s="64">
        <v>0</v>
      </c>
      <c r="F441" s="64">
        <v>0</v>
      </c>
      <c r="G441" s="40" t="e">
        <f>F441/E441*100</f>
        <v>#DIV/0!</v>
      </c>
      <c r="H441" s="155"/>
    </row>
    <row r="442" spans="1:7" ht="21.75" customHeight="1" hidden="1">
      <c r="A442" s="70"/>
      <c r="B442" s="71"/>
      <c r="C442" s="55" t="s">
        <v>680</v>
      </c>
      <c r="D442" s="38" t="s">
        <v>770</v>
      </c>
      <c r="E442" s="64">
        <v>0</v>
      </c>
      <c r="F442" s="64">
        <v>0</v>
      </c>
      <c r="G442" s="40" t="e">
        <f>F442/E442*100</f>
        <v>#DIV/0!</v>
      </c>
    </row>
    <row r="443" spans="1:7" ht="20.25" customHeight="1" hidden="1">
      <c r="A443" s="70"/>
      <c r="B443" s="71"/>
      <c r="C443" s="55" t="s">
        <v>679</v>
      </c>
      <c r="D443" s="79" t="s">
        <v>809</v>
      </c>
      <c r="E443" s="64">
        <v>0</v>
      </c>
      <c r="F443" s="64">
        <v>0</v>
      </c>
      <c r="G443" s="40" t="e">
        <f>F443/E443*100</f>
        <v>#DIV/0!</v>
      </c>
    </row>
    <row r="444" spans="1:7" ht="91.5" customHeight="1">
      <c r="A444" s="62"/>
      <c r="B444" s="63"/>
      <c r="C444" s="55" t="s">
        <v>403</v>
      </c>
      <c r="D444" s="61" t="s">
        <v>1269</v>
      </c>
      <c r="E444" s="64">
        <v>40000</v>
      </c>
      <c r="F444" s="64">
        <v>0</v>
      </c>
      <c r="G444" s="40">
        <f>F444/E444*100</f>
        <v>0</v>
      </c>
    </row>
    <row r="445" spans="1:7" ht="30" customHeight="1">
      <c r="A445" s="62"/>
      <c r="B445" s="63"/>
      <c r="C445" s="55"/>
      <c r="D445" s="38" t="s">
        <v>108</v>
      </c>
      <c r="E445" s="64"/>
      <c r="F445" s="64"/>
      <c r="G445" s="40"/>
    </row>
    <row r="446" spans="1:7" ht="71.25" customHeight="1" hidden="1">
      <c r="A446" s="62"/>
      <c r="B446" s="63"/>
      <c r="C446" s="55" t="s">
        <v>1029</v>
      </c>
      <c r="D446" s="38" t="s">
        <v>477</v>
      </c>
      <c r="E446" s="64">
        <v>0</v>
      </c>
      <c r="F446" s="64">
        <v>0</v>
      </c>
      <c r="G446" s="40" t="e">
        <f>F446/E446*100</f>
        <v>#DIV/0!</v>
      </c>
    </row>
    <row r="447" spans="1:7" ht="78.75" customHeight="1" hidden="1">
      <c r="A447" s="62"/>
      <c r="B447" s="63"/>
      <c r="C447" s="55"/>
      <c r="D447" s="38" t="s">
        <v>552</v>
      </c>
      <c r="E447" s="64"/>
      <c r="F447" s="64"/>
      <c r="G447" s="40"/>
    </row>
    <row r="448" spans="1:7" ht="63.75" customHeight="1" hidden="1">
      <c r="A448" s="62"/>
      <c r="B448" s="63"/>
      <c r="C448" s="55" t="s">
        <v>914</v>
      </c>
      <c r="D448" s="38" t="s">
        <v>477</v>
      </c>
      <c r="E448" s="64">
        <v>0</v>
      </c>
      <c r="F448" s="64">
        <v>0</v>
      </c>
      <c r="G448" s="40" t="e">
        <f>F448/E448*100</f>
        <v>#DIV/0!</v>
      </c>
    </row>
    <row r="449" spans="1:7" ht="75.75" customHeight="1" hidden="1">
      <c r="A449" s="62"/>
      <c r="B449" s="63"/>
      <c r="C449" s="55"/>
      <c r="D449" s="38" t="s">
        <v>271</v>
      </c>
      <c r="E449" s="64"/>
      <c r="F449" s="64"/>
      <c r="G449" s="40"/>
    </row>
    <row r="450" spans="1:8" s="35" customFormat="1" ht="67.5" customHeight="1" hidden="1">
      <c r="A450" s="62"/>
      <c r="B450" s="63"/>
      <c r="C450" s="37">
        <v>2910</v>
      </c>
      <c r="D450" s="38" t="s">
        <v>566</v>
      </c>
      <c r="E450" s="64">
        <v>0</v>
      </c>
      <c r="F450" s="64">
        <v>0</v>
      </c>
      <c r="G450" s="40" t="e">
        <f>F450/E450*100</f>
        <v>#DIV/0!</v>
      </c>
      <c r="H450" s="155"/>
    </row>
    <row r="451" spans="1:8" s="35" customFormat="1" ht="33.75" customHeight="1">
      <c r="A451" s="62"/>
      <c r="B451" s="63"/>
      <c r="C451" s="37">
        <v>2950</v>
      </c>
      <c r="D451" s="32" t="s">
        <v>1427</v>
      </c>
      <c r="E451" s="64">
        <v>0</v>
      </c>
      <c r="F451" s="64">
        <v>7284.66</v>
      </c>
      <c r="G451" s="40" t="e">
        <f>F451/E451*100</f>
        <v>#DIV/0!</v>
      </c>
      <c r="H451" s="155"/>
    </row>
    <row r="452" spans="1:8" s="35" customFormat="1" ht="53.25" customHeight="1" hidden="1">
      <c r="A452" s="62"/>
      <c r="B452" s="63"/>
      <c r="C452" s="37">
        <v>6298</v>
      </c>
      <c r="D452" s="32" t="s">
        <v>551</v>
      </c>
      <c r="E452" s="64">
        <v>0</v>
      </c>
      <c r="F452" s="64">
        <v>0</v>
      </c>
      <c r="G452" s="40" t="e">
        <f>F452/E452*100</f>
        <v>#DIV/0!</v>
      </c>
      <c r="H452" s="155"/>
    </row>
    <row r="453" spans="1:8" s="35" customFormat="1" ht="66.75" customHeight="1" hidden="1">
      <c r="A453" s="62"/>
      <c r="B453" s="63"/>
      <c r="C453" s="37"/>
      <c r="D453" s="38" t="s">
        <v>1272</v>
      </c>
      <c r="E453" s="64"/>
      <c r="F453" s="64"/>
      <c r="G453" s="22"/>
      <c r="H453" s="155"/>
    </row>
    <row r="454" spans="1:7" ht="21" customHeight="1">
      <c r="A454" s="76" t="s">
        <v>35</v>
      </c>
      <c r="B454" s="77"/>
      <c r="C454" s="77"/>
      <c r="D454" s="174" t="s">
        <v>38</v>
      </c>
      <c r="E454" s="57">
        <f>SUM(E455,E459)</f>
        <v>51516</v>
      </c>
      <c r="F454" s="57">
        <f>SUM(F455,F459)</f>
        <v>45616</v>
      </c>
      <c r="G454" s="22">
        <f>F454/E454*100</f>
        <v>88.54724745710071</v>
      </c>
    </row>
    <row r="455" spans="1:7" ht="17.25" customHeight="1">
      <c r="A455" s="70"/>
      <c r="B455" s="71" t="s">
        <v>86</v>
      </c>
      <c r="C455" s="71"/>
      <c r="D455" s="73" t="s">
        <v>87</v>
      </c>
      <c r="E455" s="59">
        <f>SUM(E456,E457,E458)</f>
        <v>51516</v>
      </c>
      <c r="F455" s="59">
        <f>SUM(F456,F457,F458)</f>
        <v>45616</v>
      </c>
      <c r="G455" s="28">
        <f>F455/E455*100</f>
        <v>88.54724745710071</v>
      </c>
    </row>
    <row r="456" spans="1:8" s="35" customFormat="1" ht="57" customHeight="1">
      <c r="A456" s="62"/>
      <c r="B456" s="63"/>
      <c r="C456" s="63" t="s">
        <v>433</v>
      </c>
      <c r="D456" s="32" t="s">
        <v>722</v>
      </c>
      <c r="E456" s="64">
        <v>5900</v>
      </c>
      <c r="F456" s="64">
        <v>0</v>
      </c>
      <c r="G456" s="40">
        <f>F456/E456*100</f>
        <v>0</v>
      </c>
      <c r="H456" s="155"/>
    </row>
    <row r="457" spans="1:8" s="35" customFormat="1" ht="52.5" customHeight="1">
      <c r="A457" s="62"/>
      <c r="B457" s="63"/>
      <c r="C457" s="63" t="s">
        <v>434</v>
      </c>
      <c r="D457" s="38" t="s">
        <v>1393</v>
      </c>
      <c r="E457" s="64">
        <v>45616</v>
      </c>
      <c r="F457" s="64">
        <v>45616</v>
      </c>
      <c r="G457" s="40">
        <f>F457/E457*100</f>
        <v>100</v>
      </c>
      <c r="H457" s="155"/>
    </row>
    <row r="458" spans="1:8" s="35" customFormat="1" ht="69" customHeight="1" hidden="1">
      <c r="A458" s="62"/>
      <c r="B458" s="63"/>
      <c r="C458" s="63" t="s">
        <v>697</v>
      </c>
      <c r="D458" s="32" t="s">
        <v>698</v>
      </c>
      <c r="E458" s="64">
        <v>0</v>
      </c>
      <c r="F458" s="64">
        <v>0</v>
      </c>
      <c r="G458" s="40" t="e">
        <f>F458/E458*100</f>
        <v>#DIV/0!</v>
      </c>
      <c r="H458" s="155"/>
    </row>
    <row r="459" spans="1:8" s="35" customFormat="1" ht="27.75" customHeight="1" hidden="1">
      <c r="A459" s="62"/>
      <c r="B459" s="71" t="s">
        <v>382</v>
      </c>
      <c r="C459" s="63"/>
      <c r="D459" s="26" t="s">
        <v>176</v>
      </c>
      <c r="E459" s="59">
        <f>SUM(E460:E461)</f>
        <v>0</v>
      </c>
      <c r="F459" s="59">
        <f>SUM(F460:F461)</f>
        <v>0</v>
      </c>
      <c r="G459" s="28" t="s">
        <v>799</v>
      </c>
      <c r="H459" s="155"/>
    </row>
    <row r="460" spans="1:8" s="35" customFormat="1" ht="25.5" customHeight="1" hidden="1">
      <c r="A460" s="62"/>
      <c r="B460" s="63"/>
      <c r="C460" s="63" t="s">
        <v>679</v>
      </c>
      <c r="D460" s="79" t="s">
        <v>809</v>
      </c>
      <c r="E460" s="64">
        <v>0</v>
      </c>
      <c r="F460" s="64">
        <v>0</v>
      </c>
      <c r="G460" s="28" t="s">
        <v>799</v>
      </c>
      <c r="H460" s="155"/>
    </row>
    <row r="461" spans="1:8" s="35" customFormat="1" ht="24" customHeight="1" hidden="1">
      <c r="A461" s="62"/>
      <c r="B461" s="63"/>
      <c r="C461" s="63" t="s">
        <v>680</v>
      </c>
      <c r="D461" s="68" t="s">
        <v>770</v>
      </c>
      <c r="E461" s="64">
        <v>0</v>
      </c>
      <c r="F461" s="64">
        <v>0</v>
      </c>
      <c r="G461" s="28" t="s">
        <v>799</v>
      </c>
      <c r="H461" s="155"/>
    </row>
    <row r="462" spans="1:7" ht="21" customHeight="1">
      <c r="A462" s="76" t="s">
        <v>1430</v>
      </c>
      <c r="B462" s="77"/>
      <c r="C462" s="77"/>
      <c r="D462" s="174" t="s">
        <v>1431</v>
      </c>
      <c r="E462" s="57">
        <f>SUM(E463,E468,E475,E478,E480,E484,E486)</f>
        <v>21216261</v>
      </c>
      <c r="F462" s="57">
        <f>SUM(F463,F468,F475,F478,F480,F484,F486)</f>
        <v>12141341.94</v>
      </c>
      <c r="G462" s="22">
        <f aca="true" t="shared" si="23" ref="G462:G467">F462/E462*100</f>
        <v>57.22658643763856</v>
      </c>
    </row>
    <row r="463" spans="1:7" ht="17.25" customHeight="1">
      <c r="A463" s="70"/>
      <c r="B463" s="71" t="s">
        <v>1432</v>
      </c>
      <c r="C463" s="71"/>
      <c r="D463" s="73" t="s">
        <v>1318</v>
      </c>
      <c r="E463" s="59">
        <f>SUM(E464,E465,E466,E467)</f>
        <v>12884000</v>
      </c>
      <c r="F463" s="59">
        <f>SUM(F464,F465,F466,F467)</f>
        <v>7497252.590000001</v>
      </c>
      <c r="G463" s="28">
        <f t="shared" si="23"/>
        <v>58.19041128531512</v>
      </c>
    </row>
    <row r="464" spans="1:8" s="35" customFormat="1" ht="30" customHeight="1">
      <c r="A464" s="62"/>
      <c r="B464" s="63"/>
      <c r="C464" s="63" t="s">
        <v>1417</v>
      </c>
      <c r="D464" s="196" t="s">
        <v>1420</v>
      </c>
      <c r="E464" s="64">
        <v>0</v>
      </c>
      <c r="F464" s="64">
        <v>11.6</v>
      </c>
      <c r="G464" s="40" t="e">
        <f t="shared" si="23"/>
        <v>#DIV/0!</v>
      </c>
      <c r="H464" s="155"/>
    </row>
    <row r="465" spans="1:8" s="35" customFormat="1" ht="17.25" customHeight="1">
      <c r="A465" s="62"/>
      <c r="B465" s="63"/>
      <c r="C465" s="63" t="s">
        <v>679</v>
      </c>
      <c r="D465" s="79" t="s">
        <v>1377</v>
      </c>
      <c r="E465" s="64">
        <v>0</v>
      </c>
      <c r="F465" s="64">
        <v>96.84</v>
      </c>
      <c r="G465" s="40" t="e">
        <f t="shared" si="23"/>
        <v>#DIV/0!</v>
      </c>
      <c r="H465" s="155"/>
    </row>
    <row r="466" spans="1:8" s="35" customFormat="1" ht="78.75" customHeight="1">
      <c r="A466" s="62"/>
      <c r="B466" s="63"/>
      <c r="C466" s="63" t="s">
        <v>1317</v>
      </c>
      <c r="D466" s="38" t="s">
        <v>1433</v>
      </c>
      <c r="E466" s="64">
        <v>12878000</v>
      </c>
      <c r="F466" s="64">
        <v>7493000</v>
      </c>
      <c r="G466" s="40">
        <f t="shared" si="23"/>
        <v>58.18450069886628</v>
      </c>
      <c r="H466" s="155"/>
    </row>
    <row r="467" spans="1:8" s="35" customFormat="1" ht="71.25" customHeight="1">
      <c r="A467" s="62"/>
      <c r="B467" s="63"/>
      <c r="C467" s="63" t="s">
        <v>961</v>
      </c>
      <c r="D467" s="38" t="s">
        <v>566</v>
      </c>
      <c r="E467" s="64">
        <v>6000</v>
      </c>
      <c r="F467" s="64">
        <v>4144.15</v>
      </c>
      <c r="G467" s="40">
        <f t="shared" si="23"/>
        <v>69.06916666666666</v>
      </c>
      <c r="H467" s="155"/>
    </row>
    <row r="468" spans="1:7" ht="50.25" customHeight="1">
      <c r="A468" s="70"/>
      <c r="B468" s="71" t="s">
        <v>1437</v>
      </c>
      <c r="C468" s="71"/>
      <c r="D468" s="73" t="s">
        <v>854</v>
      </c>
      <c r="E468" s="59">
        <f>SUM(E469,E470,E471,E472,E473,E474)</f>
        <v>7562000</v>
      </c>
      <c r="F468" s="59">
        <f>SUM(F469,F470,F471,F472,F473,F474)</f>
        <v>4225938.82</v>
      </c>
      <c r="G468" s="28">
        <f aca="true" t="shared" si="24" ref="G468:G474">F468/E468*100</f>
        <v>55.88387754562285</v>
      </c>
    </row>
    <row r="469" spans="1:8" s="35" customFormat="1" ht="30" customHeight="1">
      <c r="A469" s="62"/>
      <c r="B469" s="63"/>
      <c r="C469" s="63" t="s">
        <v>1417</v>
      </c>
      <c r="D469" s="196" t="s">
        <v>1420</v>
      </c>
      <c r="E469" s="64">
        <v>0</v>
      </c>
      <c r="F469" s="64">
        <v>274.4</v>
      </c>
      <c r="G469" s="40" t="e">
        <f t="shared" si="24"/>
        <v>#DIV/0!</v>
      </c>
      <c r="H469" s="155"/>
    </row>
    <row r="470" spans="1:8" s="35" customFormat="1" ht="17.25" customHeight="1">
      <c r="A470" s="62"/>
      <c r="B470" s="63"/>
      <c r="C470" s="63" t="s">
        <v>679</v>
      </c>
      <c r="D470" s="79" t="s">
        <v>1377</v>
      </c>
      <c r="E470" s="64">
        <v>14000</v>
      </c>
      <c r="F470" s="64">
        <v>6558.73</v>
      </c>
      <c r="G470" s="40">
        <f t="shared" si="24"/>
        <v>46.84807142857142</v>
      </c>
      <c r="H470" s="155"/>
    </row>
    <row r="471" spans="1:8" s="35" customFormat="1" ht="17.25" customHeight="1">
      <c r="A471" s="62"/>
      <c r="B471" s="63"/>
      <c r="C471" s="63" t="s">
        <v>1414</v>
      </c>
      <c r="D471" s="38" t="s">
        <v>1415</v>
      </c>
      <c r="E471" s="64">
        <v>0</v>
      </c>
      <c r="F471" s="64">
        <v>3477.2</v>
      </c>
      <c r="G471" s="40" t="e">
        <f>F471/E471*100</f>
        <v>#DIV/0!</v>
      </c>
      <c r="H471" s="155"/>
    </row>
    <row r="472" spans="1:8" s="35" customFormat="1" ht="62.25" customHeight="1">
      <c r="A472" s="62"/>
      <c r="B472" s="63"/>
      <c r="C472" s="63" t="s">
        <v>449</v>
      </c>
      <c r="D472" s="38" t="s">
        <v>314</v>
      </c>
      <c r="E472" s="64">
        <v>7402000</v>
      </c>
      <c r="F472" s="64">
        <v>4149050</v>
      </c>
      <c r="G472" s="40">
        <f>F472/E472*100</f>
        <v>56.05309375844366</v>
      </c>
      <c r="H472" s="155"/>
    </row>
    <row r="473" spans="1:8" s="35" customFormat="1" ht="58.5" customHeight="1">
      <c r="A473" s="62"/>
      <c r="B473" s="63"/>
      <c r="C473" s="63" t="s">
        <v>437</v>
      </c>
      <c r="D473" s="38" t="s">
        <v>457</v>
      </c>
      <c r="E473" s="64">
        <v>76000</v>
      </c>
      <c r="F473" s="64">
        <v>44439.66</v>
      </c>
      <c r="G473" s="40">
        <f t="shared" si="24"/>
        <v>58.47323684210527</v>
      </c>
      <c r="H473" s="155"/>
    </row>
    <row r="474" spans="1:8" s="35" customFormat="1" ht="71.25" customHeight="1">
      <c r="A474" s="62"/>
      <c r="B474" s="63"/>
      <c r="C474" s="63" t="s">
        <v>961</v>
      </c>
      <c r="D474" s="38" t="s">
        <v>566</v>
      </c>
      <c r="E474" s="64">
        <v>70000</v>
      </c>
      <c r="F474" s="64">
        <v>22138.83</v>
      </c>
      <c r="G474" s="40">
        <f t="shared" si="24"/>
        <v>31.626900000000003</v>
      </c>
      <c r="H474" s="155"/>
    </row>
    <row r="475" spans="1:7" ht="26.25" customHeight="1">
      <c r="A475" s="70"/>
      <c r="B475" s="71" t="s">
        <v>1434</v>
      </c>
      <c r="C475" s="71"/>
      <c r="D475" s="73" t="s">
        <v>1435</v>
      </c>
      <c r="E475" s="59">
        <f>SUM(E476,E477)</f>
        <v>161</v>
      </c>
      <c r="F475" s="59">
        <f>SUM(F476,F477)</f>
        <v>161.92</v>
      </c>
      <c r="G475" s="28">
        <f>F475/E475*100</f>
        <v>100.57142857142856</v>
      </c>
    </row>
    <row r="476" spans="1:8" s="35" customFormat="1" ht="62.25" customHeight="1">
      <c r="A476" s="62"/>
      <c r="B476" s="63"/>
      <c r="C476" s="63" t="s">
        <v>449</v>
      </c>
      <c r="D476" s="38" t="s">
        <v>314</v>
      </c>
      <c r="E476" s="64">
        <v>161</v>
      </c>
      <c r="F476" s="64">
        <v>161</v>
      </c>
      <c r="G476" s="40">
        <f>F476/E476*100</f>
        <v>100</v>
      </c>
      <c r="H476" s="155"/>
    </row>
    <row r="477" spans="1:8" s="35" customFormat="1" ht="58.5" customHeight="1">
      <c r="A477" s="62"/>
      <c r="B477" s="63"/>
      <c r="C477" s="63" t="s">
        <v>437</v>
      </c>
      <c r="D477" s="38" t="s">
        <v>457</v>
      </c>
      <c r="E477" s="64">
        <v>0</v>
      </c>
      <c r="F477" s="64">
        <v>0.92</v>
      </c>
      <c r="G477" s="40" t="e">
        <f>F477/E477*100</f>
        <v>#DIV/0!</v>
      </c>
      <c r="H477" s="155"/>
    </row>
    <row r="478" spans="1:7" ht="26.25" customHeight="1">
      <c r="A478" s="70"/>
      <c r="B478" s="71" t="s">
        <v>1436</v>
      </c>
      <c r="C478" s="71"/>
      <c r="D478" s="73" t="s">
        <v>165</v>
      </c>
      <c r="E478" s="59">
        <f>SUM(E479)</f>
        <v>2000</v>
      </c>
      <c r="F478" s="59">
        <f>SUM(F479)</f>
        <v>0</v>
      </c>
      <c r="G478" s="28">
        <f aca="true" t="shared" si="25" ref="G478:G483">F478/E478*100</f>
        <v>0</v>
      </c>
    </row>
    <row r="479" spans="1:8" s="35" customFormat="1" ht="69.75" customHeight="1">
      <c r="A479" s="62"/>
      <c r="B479" s="63"/>
      <c r="C479" s="63" t="s">
        <v>961</v>
      </c>
      <c r="D479" s="38" t="s">
        <v>566</v>
      </c>
      <c r="E479" s="64">
        <v>2000</v>
      </c>
      <c r="F479" s="64">
        <v>0</v>
      </c>
      <c r="G479" s="40">
        <f t="shared" si="25"/>
        <v>0</v>
      </c>
      <c r="H479" s="155"/>
    </row>
    <row r="480" spans="1:7" ht="22.5" customHeight="1">
      <c r="A480" s="70"/>
      <c r="B480" s="71" t="s">
        <v>1438</v>
      </c>
      <c r="C480" s="71"/>
      <c r="D480" s="73" t="s">
        <v>1439</v>
      </c>
      <c r="E480" s="59">
        <f>SUM(E481,E482,E483)</f>
        <v>768100</v>
      </c>
      <c r="F480" s="59">
        <f>SUM(F481,F482,F483)</f>
        <v>417988.61</v>
      </c>
      <c r="G480" s="28">
        <f t="shared" si="25"/>
        <v>54.41851451633901</v>
      </c>
    </row>
    <row r="481" spans="1:8" s="35" customFormat="1" ht="21" customHeight="1">
      <c r="A481" s="62"/>
      <c r="B481" s="63"/>
      <c r="C481" s="63" t="s">
        <v>678</v>
      </c>
      <c r="D481" s="38" t="s">
        <v>811</v>
      </c>
      <c r="E481" s="64">
        <v>717700</v>
      </c>
      <c r="F481" s="64">
        <v>392756.75</v>
      </c>
      <c r="G481" s="40">
        <f t="shared" si="25"/>
        <v>54.724362547025216</v>
      </c>
      <c r="H481" s="155"/>
    </row>
    <row r="482" spans="1:8" s="35" customFormat="1" ht="19.5" customHeight="1">
      <c r="A482" s="62"/>
      <c r="B482" s="63"/>
      <c r="C482" s="63" t="s">
        <v>679</v>
      </c>
      <c r="D482" s="79" t="s">
        <v>1377</v>
      </c>
      <c r="E482" s="64">
        <v>0</v>
      </c>
      <c r="F482" s="64">
        <v>31.86</v>
      </c>
      <c r="G482" s="40" t="e">
        <f t="shared" si="25"/>
        <v>#DIV/0!</v>
      </c>
      <c r="H482" s="155"/>
    </row>
    <row r="483" spans="1:8" s="35" customFormat="1" ht="54" customHeight="1">
      <c r="A483" s="62"/>
      <c r="B483" s="63"/>
      <c r="C483" s="63" t="s">
        <v>434</v>
      </c>
      <c r="D483" s="38" t="s">
        <v>1393</v>
      </c>
      <c r="E483" s="64">
        <v>50400</v>
      </c>
      <c r="F483" s="64">
        <v>25200</v>
      </c>
      <c r="G483" s="40">
        <f t="shared" si="25"/>
        <v>50</v>
      </c>
      <c r="H483" s="155"/>
    </row>
    <row r="484" spans="1:7" ht="22.5" customHeight="1" hidden="1">
      <c r="A484" s="70"/>
      <c r="B484" s="71" t="s">
        <v>1440</v>
      </c>
      <c r="C484" s="71"/>
      <c r="D484" s="73" t="s">
        <v>527</v>
      </c>
      <c r="E484" s="59">
        <f>SUM(E485)</f>
        <v>0</v>
      </c>
      <c r="F484" s="59">
        <f>SUM(F485)</f>
        <v>0</v>
      </c>
      <c r="G484" s="28" t="e">
        <f aca="true" t="shared" si="26" ref="G484:G502">F484/E484*100</f>
        <v>#DIV/0!</v>
      </c>
    </row>
    <row r="485" spans="1:8" s="35" customFormat="1" ht="69.75" customHeight="1" hidden="1">
      <c r="A485" s="62"/>
      <c r="B485" s="63"/>
      <c r="C485" s="63" t="s">
        <v>961</v>
      </c>
      <c r="D485" s="38" t="s">
        <v>566</v>
      </c>
      <c r="E485" s="64">
        <v>0</v>
      </c>
      <c r="F485" s="64">
        <v>0</v>
      </c>
      <c r="G485" s="40" t="e">
        <f t="shared" si="26"/>
        <v>#DIV/0!</v>
      </c>
      <c r="H485" s="155"/>
    </row>
    <row r="486" spans="1:7" ht="22.5" customHeight="1" hidden="1">
      <c r="A486" s="70"/>
      <c r="B486" s="71" t="s">
        <v>1441</v>
      </c>
      <c r="C486" s="71"/>
      <c r="D486" s="73" t="s">
        <v>1442</v>
      </c>
      <c r="E486" s="59">
        <f>SUM(E487,E488,E489)</f>
        <v>0</v>
      </c>
      <c r="F486" s="59">
        <f>SUM(F487,F488,F489)</f>
        <v>0</v>
      </c>
      <c r="G486" s="28" t="e">
        <f t="shared" si="26"/>
        <v>#DIV/0!</v>
      </c>
    </row>
    <row r="487" spans="1:8" s="35" customFormat="1" ht="34.5" customHeight="1" hidden="1">
      <c r="A487" s="62"/>
      <c r="B487" s="63"/>
      <c r="C487" s="63" t="s">
        <v>1265</v>
      </c>
      <c r="D487" s="38" t="s">
        <v>1324</v>
      </c>
      <c r="E487" s="64">
        <v>0</v>
      </c>
      <c r="F487" s="64">
        <v>0</v>
      </c>
      <c r="G487" s="40" t="e">
        <f t="shared" si="26"/>
        <v>#DIV/0!</v>
      </c>
      <c r="H487" s="155"/>
    </row>
    <row r="488" spans="1:8" s="35" customFormat="1" ht="24" customHeight="1" hidden="1">
      <c r="A488" s="62"/>
      <c r="B488" s="63"/>
      <c r="C488" s="63" t="s">
        <v>679</v>
      </c>
      <c r="D488" s="79" t="s">
        <v>1377</v>
      </c>
      <c r="E488" s="64">
        <v>0</v>
      </c>
      <c r="F488" s="64">
        <v>0</v>
      </c>
      <c r="G488" s="40" t="e">
        <f t="shared" si="26"/>
        <v>#DIV/0!</v>
      </c>
      <c r="H488" s="155"/>
    </row>
    <row r="489" spans="1:8" s="35" customFormat="1" ht="38.25" customHeight="1" hidden="1">
      <c r="A489" s="62"/>
      <c r="B489" s="63"/>
      <c r="C489" s="63" t="s">
        <v>1418</v>
      </c>
      <c r="D489" s="32" t="s">
        <v>1419</v>
      </c>
      <c r="E489" s="64">
        <v>0</v>
      </c>
      <c r="F489" s="64">
        <v>0</v>
      </c>
      <c r="G489" s="40" t="e">
        <f t="shared" si="26"/>
        <v>#DIV/0!</v>
      </c>
      <c r="H489" s="155"/>
    </row>
    <row r="490" spans="1:8" s="35" customFormat="1" ht="29.25" customHeight="1">
      <c r="A490" s="76" t="s">
        <v>89</v>
      </c>
      <c r="B490" s="77"/>
      <c r="C490" s="77"/>
      <c r="D490" s="174" t="s">
        <v>812</v>
      </c>
      <c r="E490" s="57">
        <f>SUM(E491,E505,E507,E516,E518,E533,E521,E525,E535)</f>
        <v>11894377</v>
      </c>
      <c r="F490" s="57">
        <f>SUM(F491,F505,F507,F516,F518,F533,F521,F525,F535)</f>
        <v>5043913.54</v>
      </c>
      <c r="G490" s="22">
        <f t="shared" si="26"/>
        <v>42.40586572966369</v>
      </c>
      <c r="H490" s="155"/>
    </row>
    <row r="491" spans="1:7" ht="21.75" customHeight="1">
      <c r="A491" s="70"/>
      <c r="B491" s="71" t="s">
        <v>453</v>
      </c>
      <c r="C491" s="169"/>
      <c r="D491" s="73" t="s">
        <v>454</v>
      </c>
      <c r="E491" s="59">
        <f>SUM(E492,E493,E494,E495,E496,E497,E498,E499,E500,E501,E502,E504)</f>
        <v>8338003</v>
      </c>
      <c r="F491" s="59">
        <f>SUM(F492,F493,F494,F495,F496,F497,F498,F499,F500,F501,F502,F504)</f>
        <v>4086452.89</v>
      </c>
      <c r="G491" s="40">
        <f t="shared" si="26"/>
        <v>49.00997145239694</v>
      </c>
    </row>
    <row r="492" spans="1:7" ht="41.25" customHeight="1">
      <c r="A492" s="70"/>
      <c r="B492" s="71"/>
      <c r="C492" s="55" t="s">
        <v>688</v>
      </c>
      <c r="D492" s="32" t="s">
        <v>945</v>
      </c>
      <c r="E492" s="64">
        <v>7700000</v>
      </c>
      <c r="F492" s="64">
        <v>4076731.79</v>
      </c>
      <c r="G492" s="40">
        <f t="shared" si="26"/>
        <v>52.9445687012987</v>
      </c>
    </row>
    <row r="493" spans="1:8" s="35" customFormat="1" ht="43.5" customHeight="1" hidden="1">
      <c r="A493" s="62"/>
      <c r="B493" s="63"/>
      <c r="C493" s="55" t="s">
        <v>356</v>
      </c>
      <c r="D493" s="32" t="s">
        <v>1392</v>
      </c>
      <c r="E493" s="64">
        <v>0</v>
      </c>
      <c r="F493" s="64">
        <v>0</v>
      </c>
      <c r="G493" s="40" t="e">
        <f t="shared" si="26"/>
        <v>#DIV/0!</v>
      </c>
      <c r="H493" s="155"/>
    </row>
    <row r="494" spans="1:8" s="35" customFormat="1" ht="36.75" customHeight="1">
      <c r="A494" s="62"/>
      <c r="B494" s="63"/>
      <c r="C494" s="55" t="s">
        <v>1417</v>
      </c>
      <c r="D494" s="196" t="s">
        <v>1420</v>
      </c>
      <c r="E494" s="64">
        <v>0</v>
      </c>
      <c r="F494" s="64">
        <v>5893.1</v>
      </c>
      <c r="G494" s="40" t="e">
        <f t="shared" si="26"/>
        <v>#DIV/0!</v>
      </c>
      <c r="H494" s="155"/>
    </row>
    <row r="495" spans="1:8" s="35" customFormat="1" ht="24" customHeight="1" hidden="1">
      <c r="A495" s="62"/>
      <c r="B495" s="63"/>
      <c r="C495" s="55" t="s">
        <v>682</v>
      </c>
      <c r="D495" s="32" t="s">
        <v>767</v>
      </c>
      <c r="E495" s="64">
        <v>0</v>
      </c>
      <c r="F495" s="64">
        <v>0</v>
      </c>
      <c r="G495" s="40" t="e">
        <f t="shared" si="26"/>
        <v>#DIV/0!</v>
      </c>
      <c r="H495" s="155"/>
    </row>
    <row r="496" spans="1:8" s="35" customFormat="1" ht="21.75" customHeight="1" hidden="1">
      <c r="A496" s="62"/>
      <c r="B496" s="63"/>
      <c r="C496" s="55" t="s">
        <v>667</v>
      </c>
      <c r="D496" s="38" t="s">
        <v>666</v>
      </c>
      <c r="E496" s="64">
        <v>0</v>
      </c>
      <c r="F496" s="64">
        <v>0</v>
      </c>
      <c r="G496" s="40" t="e">
        <f t="shared" si="26"/>
        <v>#DIV/0!</v>
      </c>
      <c r="H496" s="155"/>
    </row>
    <row r="497" spans="1:8" s="35" customFormat="1" ht="30.75" customHeight="1">
      <c r="A497" s="62"/>
      <c r="B497" s="63"/>
      <c r="C497" s="55" t="s">
        <v>692</v>
      </c>
      <c r="D497" s="38" t="s">
        <v>1319</v>
      </c>
      <c r="E497" s="64">
        <v>0</v>
      </c>
      <c r="F497" s="64">
        <v>1578</v>
      </c>
      <c r="G497" s="40" t="e">
        <f t="shared" si="26"/>
        <v>#DIV/0!</v>
      </c>
      <c r="H497" s="155"/>
    </row>
    <row r="498" spans="1:8" s="35" customFormat="1" ht="30.75" customHeight="1">
      <c r="A498" s="62"/>
      <c r="B498" s="63"/>
      <c r="C498" s="55" t="s">
        <v>1418</v>
      </c>
      <c r="D498" s="38" t="s">
        <v>1419</v>
      </c>
      <c r="E498" s="64">
        <v>0</v>
      </c>
      <c r="F498" s="64">
        <v>2250</v>
      </c>
      <c r="G498" s="40" t="e">
        <f t="shared" si="26"/>
        <v>#DIV/0!</v>
      </c>
      <c r="H498" s="155"/>
    </row>
    <row r="499" spans="1:8" s="35" customFormat="1" ht="21.75" customHeight="1" hidden="1">
      <c r="A499" s="62"/>
      <c r="B499" s="63"/>
      <c r="C499" s="55" t="s">
        <v>680</v>
      </c>
      <c r="D499" s="38" t="s">
        <v>770</v>
      </c>
      <c r="E499" s="64">
        <v>0</v>
      </c>
      <c r="F499" s="64">
        <v>0</v>
      </c>
      <c r="G499" s="40" t="e">
        <f t="shared" si="26"/>
        <v>#DIV/0!</v>
      </c>
      <c r="H499" s="155"/>
    </row>
    <row r="500" spans="1:8" s="35" customFormat="1" ht="30.75" customHeight="1" hidden="1">
      <c r="A500" s="62"/>
      <c r="B500" s="63"/>
      <c r="C500" s="55" t="s">
        <v>686</v>
      </c>
      <c r="D500" s="38" t="s">
        <v>326</v>
      </c>
      <c r="E500" s="64">
        <v>0</v>
      </c>
      <c r="F500" s="64">
        <v>0</v>
      </c>
      <c r="G500" s="40" t="e">
        <f t="shared" si="26"/>
        <v>#DIV/0!</v>
      </c>
      <c r="H500" s="155"/>
    </row>
    <row r="501" spans="1:8" s="35" customFormat="1" ht="56.25" customHeight="1">
      <c r="A501" s="62"/>
      <c r="B501" s="63"/>
      <c r="C501" s="55" t="s">
        <v>699</v>
      </c>
      <c r="D501" s="38" t="s">
        <v>700</v>
      </c>
      <c r="E501" s="64">
        <v>60000</v>
      </c>
      <c r="F501" s="64">
        <v>0</v>
      </c>
      <c r="G501" s="40">
        <f t="shared" si="26"/>
        <v>0</v>
      </c>
      <c r="H501" s="155"/>
    </row>
    <row r="502" spans="1:8" s="35" customFormat="1" ht="93" customHeight="1">
      <c r="A502" s="62"/>
      <c r="B502" s="63"/>
      <c r="C502" s="55" t="s">
        <v>296</v>
      </c>
      <c r="D502" s="68" t="s">
        <v>1593</v>
      </c>
      <c r="E502" s="64">
        <v>578003</v>
      </c>
      <c r="F502" s="64">
        <v>0</v>
      </c>
      <c r="G502" s="40">
        <f t="shared" si="26"/>
        <v>0</v>
      </c>
      <c r="H502" s="155"/>
    </row>
    <row r="503" spans="1:8" s="35" customFormat="1" ht="33" customHeight="1">
      <c r="A503" s="62"/>
      <c r="B503" s="63"/>
      <c r="C503" s="55"/>
      <c r="D503" s="38" t="s">
        <v>108</v>
      </c>
      <c r="E503" s="64"/>
      <c r="F503" s="64"/>
      <c r="G503" s="40"/>
      <c r="H503" s="155"/>
    </row>
    <row r="504" spans="1:7" ht="8.25" customHeight="1" hidden="1">
      <c r="A504" s="62"/>
      <c r="B504" s="63"/>
      <c r="C504" s="55" t="s">
        <v>385</v>
      </c>
      <c r="D504" s="38" t="s">
        <v>389</v>
      </c>
      <c r="E504" s="64">
        <v>0</v>
      </c>
      <c r="F504" s="64">
        <v>0</v>
      </c>
      <c r="G504" s="40" t="e">
        <f aca="true" t="shared" si="27" ref="G504:G511">F504/E504*100</f>
        <v>#DIV/0!</v>
      </c>
    </row>
    <row r="505" spans="1:7" ht="22.5" customHeight="1" hidden="1">
      <c r="A505" s="70"/>
      <c r="B505" s="71" t="s">
        <v>90</v>
      </c>
      <c r="C505" s="169"/>
      <c r="D505" s="73" t="s">
        <v>325</v>
      </c>
      <c r="E505" s="59">
        <f>SUM(E506)</f>
        <v>0</v>
      </c>
      <c r="F505" s="59">
        <f>SUM(F506)</f>
        <v>0</v>
      </c>
      <c r="G505" s="40" t="e">
        <f t="shared" si="27"/>
        <v>#DIV/0!</v>
      </c>
    </row>
    <row r="506" spans="1:7" ht="39.75" customHeight="1" hidden="1">
      <c r="A506" s="70"/>
      <c r="B506" s="71"/>
      <c r="C506" s="55" t="s">
        <v>356</v>
      </c>
      <c r="D506" s="32" t="s">
        <v>1392</v>
      </c>
      <c r="E506" s="64">
        <v>0</v>
      </c>
      <c r="F506" s="64">
        <v>0</v>
      </c>
      <c r="G506" s="40" t="e">
        <f t="shared" si="27"/>
        <v>#DIV/0!</v>
      </c>
    </row>
    <row r="507" spans="1:7" ht="18.75" customHeight="1" hidden="1">
      <c r="A507" s="70"/>
      <c r="B507" s="71" t="s">
        <v>849</v>
      </c>
      <c r="C507" s="169"/>
      <c r="D507" s="73" t="s">
        <v>850</v>
      </c>
      <c r="E507" s="59">
        <f>SUM(E508,E509,E510,E511,E513,E514)</f>
        <v>0</v>
      </c>
      <c r="F507" s="59">
        <f>SUM(F508,F509,F510,F511,F513,F514)</f>
        <v>0</v>
      </c>
      <c r="G507" s="28" t="e">
        <f t="shared" si="27"/>
        <v>#DIV/0!</v>
      </c>
    </row>
    <row r="508" spans="1:8" s="35" customFormat="1" ht="27" customHeight="1" hidden="1">
      <c r="A508" s="62"/>
      <c r="B508" s="63"/>
      <c r="C508" s="55" t="s">
        <v>681</v>
      </c>
      <c r="D508" s="32" t="s">
        <v>357</v>
      </c>
      <c r="E508" s="64">
        <v>0</v>
      </c>
      <c r="F508" s="64">
        <v>0</v>
      </c>
      <c r="G508" s="40" t="e">
        <f t="shared" si="27"/>
        <v>#DIV/0!</v>
      </c>
      <c r="H508" s="155"/>
    </row>
    <row r="509" spans="1:7" ht="31.5" customHeight="1" hidden="1">
      <c r="A509" s="70"/>
      <c r="B509" s="71"/>
      <c r="C509" s="55" t="s">
        <v>356</v>
      </c>
      <c r="D509" s="32" t="s">
        <v>355</v>
      </c>
      <c r="E509" s="64">
        <v>0</v>
      </c>
      <c r="F509" s="64">
        <v>0</v>
      </c>
      <c r="G509" s="40" t="e">
        <f t="shared" si="27"/>
        <v>#DIV/0!</v>
      </c>
    </row>
    <row r="510" spans="1:8" s="35" customFormat="1" ht="19.5" customHeight="1" hidden="1">
      <c r="A510" s="62"/>
      <c r="B510" s="63"/>
      <c r="C510" s="55" t="s">
        <v>680</v>
      </c>
      <c r="D510" s="68" t="s">
        <v>770</v>
      </c>
      <c r="E510" s="64">
        <v>0</v>
      </c>
      <c r="F510" s="64">
        <v>0</v>
      </c>
      <c r="G510" s="40" t="e">
        <f t="shared" si="27"/>
        <v>#DIV/0!</v>
      </c>
      <c r="H510" s="155"/>
    </row>
    <row r="511" spans="1:8" s="35" customFormat="1" ht="67.5" customHeight="1" hidden="1">
      <c r="A511" s="175"/>
      <c r="B511" s="176"/>
      <c r="C511" s="63" t="s">
        <v>296</v>
      </c>
      <c r="D511" s="68" t="s">
        <v>298</v>
      </c>
      <c r="E511" s="64">
        <v>0</v>
      </c>
      <c r="F511" s="64">
        <v>0</v>
      </c>
      <c r="G511" s="40" t="e">
        <f t="shared" si="27"/>
        <v>#DIV/0!</v>
      </c>
      <c r="H511" s="155"/>
    </row>
    <row r="512" spans="1:8" s="35" customFormat="1" ht="27" customHeight="1" hidden="1">
      <c r="A512" s="62"/>
      <c r="B512" s="63"/>
      <c r="C512" s="55"/>
      <c r="D512" s="38" t="s">
        <v>108</v>
      </c>
      <c r="E512" s="64"/>
      <c r="F512" s="64"/>
      <c r="G512" s="40"/>
      <c r="H512" s="155"/>
    </row>
    <row r="513" spans="1:8" s="35" customFormat="1" ht="55.5" customHeight="1" hidden="1">
      <c r="A513" s="62"/>
      <c r="B513" s="63"/>
      <c r="C513" s="55" t="s">
        <v>385</v>
      </c>
      <c r="D513" s="38" t="s">
        <v>389</v>
      </c>
      <c r="E513" s="64">
        <v>0</v>
      </c>
      <c r="F513" s="64">
        <v>0</v>
      </c>
      <c r="G513" s="40" t="e">
        <f>F513/E513*100</f>
        <v>#DIV/0!</v>
      </c>
      <c r="H513" s="155"/>
    </row>
    <row r="514" spans="1:7" ht="53.25" customHeight="1" hidden="1">
      <c r="A514" s="62"/>
      <c r="B514" s="63"/>
      <c r="C514" s="55" t="s">
        <v>346</v>
      </c>
      <c r="D514" s="32" t="s">
        <v>551</v>
      </c>
      <c r="E514" s="64">
        <v>0</v>
      </c>
      <c r="F514" s="64">
        <v>0</v>
      </c>
      <c r="G514" s="40" t="e">
        <f>F514/E514*100</f>
        <v>#DIV/0!</v>
      </c>
    </row>
    <row r="515" spans="1:7" ht="64.5" customHeight="1" hidden="1">
      <c r="A515" s="62"/>
      <c r="B515" s="63"/>
      <c r="C515" s="55"/>
      <c r="D515" s="38" t="s">
        <v>1272</v>
      </c>
      <c r="E515" s="64"/>
      <c r="F515" s="64"/>
      <c r="G515" s="40"/>
    </row>
    <row r="516" spans="1:7" ht="23.25" customHeight="1" hidden="1">
      <c r="A516" s="24"/>
      <c r="B516" s="46" t="s">
        <v>414</v>
      </c>
      <c r="C516" s="197"/>
      <c r="D516" s="26" t="s">
        <v>415</v>
      </c>
      <c r="E516" s="48">
        <f>SUM(E517)</f>
        <v>0</v>
      </c>
      <c r="F516" s="48">
        <f>SUM(F517)</f>
        <v>0</v>
      </c>
      <c r="G516" s="28" t="e">
        <f aca="true" t="shared" si="28" ref="G516:G535">F516/E516*100</f>
        <v>#DIV/0!</v>
      </c>
    </row>
    <row r="517" spans="1:7" ht="21" customHeight="1" hidden="1">
      <c r="A517" s="30"/>
      <c r="B517" s="31"/>
      <c r="C517" s="66" t="s">
        <v>680</v>
      </c>
      <c r="D517" s="32" t="s">
        <v>770</v>
      </c>
      <c r="E517" s="51">
        <v>0</v>
      </c>
      <c r="F517" s="51">
        <v>0</v>
      </c>
      <c r="G517" s="40" t="e">
        <f t="shared" si="28"/>
        <v>#DIV/0!</v>
      </c>
    </row>
    <row r="518" spans="1:7" ht="23.25" customHeight="1">
      <c r="A518" s="24"/>
      <c r="B518" s="46" t="s">
        <v>853</v>
      </c>
      <c r="C518" s="197"/>
      <c r="D518" s="26" t="s">
        <v>858</v>
      </c>
      <c r="E518" s="48">
        <f>SUM(E519,E520)</f>
        <v>0</v>
      </c>
      <c r="F518" s="48">
        <f>SUM(F519,F520)</f>
        <v>6.9</v>
      </c>
      <c r="G518" s="28" t="e">
        <f t="shared" si="28"/>
        <v>#DIV/0!</v>
      </c>
    </row>
    <row r="519" spans="1:8" s="35" customFormat="1" ht="75.75" customHeight="1">
      <c r="A519" s="30"/>
      <c r="B519" s="31"/>
      <c r="C519" s="66" t="s">
        <v>409</v>
      </c>
      <c r="D519" s="38" t="s">
        <v>1395</v>
      </c>
      <c r="E519" s="51">
        <v>0</v>
      </c>
      <c r="F519" s="51">
        <v>6.9</v>
      </c>
      <c r="G519" s="40" t="e">
        <f t="shared" si="28"/>
        <v>#DIV/0!</v>
      </c>
      <c r="H519" s="155"/>
    </row>
    <row r="520" spans="1:7" ht="70.5" customHeight="1" hidden="1">
      <c r="A520" s="30"/>
      <c r="B520" s="31"/>
      <c r="C520" s="66" t="s">
        <v>961</v>
      </c>
      <c r="D520" s="38" t="s">
        <v>566</v>
      </c>
      <c r="E520" s="51">
        <v>0</v>
      </c>
      <c r="F520" s="51">
        <v>0</v>
      </c>
      <c r="G520" s="40" t="e">
        <f t="shared" si="28"/>
        <v>#DIV/0!</v>
      </c>
    </row>
    <row r="521" spans="1:7" ht="23.25" customHeight="1">
      <c r="A521" s="24"/>
      <c r="B521" s="46" t="s">
        <v>91</v>
      </c>
      <c r="C521" s="197"/>
      <c r="D521" s="26" t="s">
        <v>92</v>
      </c>
      <c r="E521" s="48">
        <f>SUM(E522,E523,E524)</f>
        <v>0</v>
      </c>
      <c r="F521" s="48">
        <f>SUM(F522,F523,F524)</f>
        <v>7889.84</v>
      </c>
      <c r="G521" s="28" t="e">
        <f t="shared" si="28"/>
        <v>#DIV/0!</v>
      </c>
    </row>
    <row r="522" spans="1:8" s="35" customFormat="1" ht="18.75" customHeight="1" hidden="1">
      <c r="A522" s="62"/>
      <c r="B522" s="63"/>
      <c r="C522" s="63" t="s">
        <v>679</v>
      </c>
      <c r="D522" s="79" t="s">
        <v>809</v>
      </c>
      <c r="E522" s="64">
        <v>0</v>
      </c>
      <c r="F522" s="64">
        <v>0</v>
      </c>
      <c r="G522" s="28" t="e">
        <f t="shared" si="28"/>
        <v>#DIV/0!</v>
      </c>
      <c r="H522" s="155"/>
    </row>
    <row r="523" spans="1:8" s="35" customFormat="1" ht="32.25" customHeight="1">
      <c r="A523" s="62"/>
      <c r="B523" s="63"/>
      <c r="C523" s="63" t="s">
        <v>1418</v>
      </c>
      <c r="D523" s="38" t="s">
        <v>1419</v>
      </c>
      <c r="E523" s="64">
        <v>0</v>
      </c>
      <c r="F523" s="64">
        <v>7889.84</v>
      </c>
      <c r="G523" s="28" t="e">
        <f t="shared" si="28"/>
        <v>#DIV/0!</v>
      </c>
      <c r="H523" s="155"/>
    </row>
    <row r="524" spans="1:7" ht="21" customHeight="1" hidden="1">
      <c r="A524" s="30"/>
      <c r="B524" s="31"/>
      <c r="C524" s="66" t="s">
        <v>680</v>
      </c>
      <c r="D524" s="32" t="s">
        <v>770</v>
      </c>
      <c r="E524" s="51">
        <v>0</v>
      </c>
      <c r="F524" s="51">
        <v>0</v>
      </c>
      <c r="G524" s="40" t="e">
        <f t="shared" si="28"/>
        <v>#DIV/0!</v>
      </c>
    </row>
    <row r="525" spans="1:7" ht="26.25" customHeight="1">
      <c r="A525" s="24"/>
      <c r="B525" s="46" t="s">
        <v>1113</v>
      </c>
      <c r="C525" s="197"/>
      <c r="D525" s="26" t="s">
        <v>888</v>
      </c>
      <c r="E525" s="48">
        <f>SUM(E526,E527,E528,E529,E530,E531,E532)</f>
        <v>3300000</v>
      </c>
      <c r="F525" s="48">
        <f>SUM(F526,F527,F528,F529,F530,F531,F532)</f>
        <v>934411.8099999999</v>
      </c>
      <c r="G525" s="28">
        <f t="shared" si="28"/>
        <v>28.315509393939394</v>
      </c>
    </row>
    <row r="526" spans="1:7" ht="27" customHeight="1" hidden="1">
      <c r="A526" s="30"/>
      <c r="B526" s="31"/>
      <c r="C526" s="66" t="s">
        <v>681</v>
      </c>
      <c r="D526" s="32" t="s">
        <v>357</v>
      </c>
      <c r="E526" s="51">
        <v>0</v>
      </c>
      <c r="F526" s="51">
        <v>0</v>
      </c>
      <c r="G526" s="40" t="e">
        <f t="shared" si="28"/>
        <v>#DIV/0!</v>
      </c>
    </row>
    <row r="527" spans="1:7" ht="26.25" customHeight="1" hidden="1">
      <c r="A527" s="30"/>
      <c r="B527" s="31"/>
      <c r="C527" s="66" t="s">
        <v>356</v>
      </c>
      <c r="D527" s="32" t="s">
        <v>355</v>
      </c>
      <c r="E527" s="51">
        <v>0</v>
      </c>
      <c r="F527" s="51">
        <v>0</v>
      </c>
      <c r="G527" s="40" t="e">
        <f t="shared" si="28"/>
        <v>#DIV/0!</v>
      </c>
    </row>
    <row r="528" spans="1:7" ht="26.25" customHeight="1">
      <c r="A528" s="30"/>
      <c r="B528" s="31"/>
      <c r="C528" s="66" t="s">
        <v>1417</v>
      </c>
      <c r="D528" s="196" t="s">
        <v>1420</v>
      </c>
      <c r="E528" s="51">
        <v>0</v>
      </c>
      <c r="F528" s="51">
        <v>11.6</v>
      </c>
      <c r="G528" s="40" t="e">
        <f t="shared" si="28"/>
        <v>#DIV/0!</v>
      </c>
    </row>
    <row r="529" spans="1:7" ht="21" customHeight="1">
      <c r="A529" s="30"/>
      <c r="B529" s="31"/>
      <c r="C529" s="66" t="s">
        <v>682</v>
      </c>
      <c r="D529" s="38" t="s">
        <v>767</v>
      </c>
      <c r="E529" s="51">
        <v>3300000</v>
      </c>
      <c r="F529" s="51">
        <v>919180.49</v>
      </c>
      <c r="G529" s="40">
        <f t="shared" si="28"/>
        <v>27.853954242424244</v>
      </c>
    </row>
    <row r="530" spans="1:7" ht="20.25" customHeight="1">
      <c r="A530" s="30"/>
      <c r="B530" s="31"/>
      <c r="C530" s="66" t="s">
        <v>679</v>
      </c>
      <c r="D530" s="32" t="s">
        <v>1377</v>
      </c>
      <c r="E530" s="51">
        <v>0</v>
      </c>
      <c r="F530" s="51">
        <v>12189</v>
      </c>
      <c r="G530" s="40" t="e">
        <f t="shared" si="28"/>
        <v>#DIV/0!</v>
      </c>
    </row>
    <row r="531" spans="1:7" ht="28.5" customHeight="1">
      <c r="A531" s="30"/>
      <c r="B531" s="31"/>
      <c r="C531" s="66" t="s">
        <v>1418</v>
      </c>
      <c r="D531" s="38" t="s">
        <v>1419</v>
      </c>
      <c r="E531" s="51">
        <v>0</v>
      </c>
      <c r="F531" s="51">
        <v>3030.72</v>
      </c>
      <c r="G531" s="40" t="e">
        <f t="shared" si="28"/>
        <v>#DIV/0!</v>
      </c>
    </row>
    <row r="532" spans="1:7" ht="20.25" customHeight="1" hidden="1">
      <c r="A532" s="30"/>
      <c r="B532" s="31"/>
      <c r="C532" s="66" t="s">
        <v>680</v>
      </c>
      <c r="D532" s="32" t="s">
        <v>770</v>
      </c>
      <c r="E532" s="51">
        <v>0</v>
      </c>
      <c r="F532" s="51">
        <v>0</v>
      </c>
      <c r="G532" s="40" t="e">
        <f t="shared" si="28"/>
        <v>#DIV/0!</v>
      </c>
    </row>
    <row r="533" spans="1:8" s="35" customFormat="1" ht="30.75" customHeight="1">
      <c r="A533" s="70"/>
      <c r="B533" s="71" t="s">
        <v>946</v>
      </c>
      <c r="C533" s="72"/>
      <c r="D533" s="73" t="s">
        <v>947</v>
      </c>
      <c r="E533" s="59">
        <f>E534</f>
        <v>0</v>
      </c>
      <c r="F533" s="59">
        <f>F534</f>
        <v>1561.77</v>
      </c>
      <c r="G533" s="28" t="e">
        <f t="shared" si="28"/>
        <v>#DIV/0!</v>
      </c>
      <c r="H533" s="155"/>
    </row>
    <row r="534" spans="1:8" s="35" customFormat="1" ht="22.5" customHeight="1">
      <c r="A534" s="62"/>
      <c r="B534" s="63"/>
      <c r="C534" s="55" t="s">
        <v>435</v>
      </c>
      <c r="D534" s="38" t="s">
        <v>948</v>
      </c>
      <c r="E534" s="64">
        <v>0</v>
      </c>
      <c r="F534" s="64">
        <v>1561.77</v>
      </c>
      <c r="G534" s="40" t="e">
        <f t="shared" si="28"/>
        <v>#DIV/0!</v>
      </c>
      <c r="H534" s="155"/>
    </row>
    <row r="535" spans="1:7" ht="20.25" customHeight="1">
      <c r="A535" s="198"/>
      <c r="B535" s="187" t="s">
        <v>93</v>
      </c>
      <c r="C535" s="187"/>
      <c r="D535" s="199" t="s">
        <v>176</v>
      </c>
      <c r="E535" s="59">
        <f>SUM(E536,E537,E538,E539,E540,E541,E542,E543,E544,E545,E546,E547,E548,E549)</f>
        <v>256374</v>
      </c>
      <c r="F535" s="59">
        <f>SUM(F536,F537,F538,F539,F540,F541,F542,F543,F544,F545,F546,F547,F548,F549)</f>
        <v>13590.330000000002</v>
      </c>
      <c r="G535" s="54">
        <f t="shared" si="28"/>
        <v>5.300978258325728</v>
      </c>
    </row>
    <row r="536" spans="1:7" ht="27" customHeight="1" hidden="1">
      <c r="A536" s="30"/>
      <c r="B536" s="31"/>
      <c r="C536" s="66" t="s">
        <v>681</v>
      </c>
      <c r="D536" s="32" t="s">
        <v>357</v>
      </c>
      <c r="E536" s="51">
        <v>0</v>
      </c>
      <c r="F536" s="51">
        <v>0</v>
      </c>
      <c r="G536" s="40" t="e">
        <f aca="true" t="shared" si="29" ref="G536:G549">F536/E536*100</f>
        <v>#DIV/0!</v>
      </c>
    </row>
    <row r="537" spans="1:7" ht="26.25" customHeight="1" hidden="1">
      <c r="A537" s="30"/>
      <c r="B537" s="31"/>
      <c r="C537" s="66" t="s">
        <v>356</v>
      </c>
      <c r="D537" s="32" t="s">
        <v>355</v>
      </c>
      <c r="E537" s="51">
        <v>0</v>
      </c>
      <c r="F537" s="51">
        <v>0</v>
      </c>
      <c r="G537" s="40" t="e">
        <f t="shared" si="29"/>
        <v>#DIV/0!</v>
      </c>
    </row>
    <row r="538" spans="1:7" ht="69.75" customHeight="1">
      <c r="A538" s="62"/>
      <c r="B538" s="63"/>
      <c r="C538" s="55" t="s">
        <v>683</v>
      </c>
      <c r="D538" s="32" t="s">
        <v>1375</v>
      </c>
      <c r="E538" s="64">
        <v>2000</v>
      </c>
      <c r="F538" s="64">
        <v>962.7</v>
      </c>
      <c r="G538" s="40">
        <f t="shared" si="29"/>
        <v>48.135</v>
      </c>
    </row>
    <row r="539" spans="1:7" ht="21" customHeight="1" hidden="1">
      <c r="A539" s="62"/>
      <c r="B539" s="63"/>
      <c r="C539" s="55" t="s">
        <v>678</v>
      </c>
      <c r="D539" s="38" t="s">
        <v>811</v>
      </c>
      <c r="E539" s="64">
        <v>0</v>
      </c>
      <c r="F539" s="64">
        <v>0</v>
      </c>
      <c r="G539" s="40" t="e">
        <f>F539/E539*100</f>
        <v>#DIV/0!</v>
      </c>
    </row>
    <row r="540" spans="1:8" s="35" customFormat="1" ht="21.75" customHeight="1">
      <c r="A540" s="62"/>
      <c r="B540" s="63"/>
      <c r="C540" s="55" t="s">
        <v>667</v>
      </c>
      <c r="D540" s="38" t="s">
        <v>666</v>
      </c>
      <c r="E540" s="64">
        <v>12000</v>
      </c>
      <c r="F540" s="64">
        <v>10148.02</v>
      </c>
      <c r="G540" s="40">
        <f t="shared" si="29"/>
        <v>84.56683333333334</v>
      </c>
      <c r="H540" s="155"/>
    </row>
    <row r="541" spans="1:8" s="35" customFormat="1" ht="69.75" customHeight="1">
      <c r="A541" s="62"/>
      <c r="B541" s="63"/>
      <c r="C541" s="63" t="s">
        <v>409</v>
      </c>
      <c r="D541" s="38" t="s">
        <v>1395</v>
      </c>
      <c r="E541" s="64">
        <v>0</v>
      </c>
      <c r="F541" s="64">
        <v>21.48</v>
      </c>
      <c r="G541" s="40" t="e">
        <f>F541/E541*100</f>
        <v>#DIV/0!</v>
      </c>
      <c r="H541" s="155"/>
    </row>
    <row r="542" spans="1:8" s="35" customFormat="1" ht="18.75" customHeight="1">
      <c r="A542" s="62"/>
      <c r="B542" s="63"/>
      <c r="C542" s="63" t="s">
        <v>679</v>
      </c>
      <c r="D542" s="32" t="s">
        <v>1377</v>
      </c>
      <c r="E542" s="64">
        <v>0</v>
      </c>
      <c r="F542" s="64">
        <v>9.11</v>
      </c>
      <c r="G542" s="40" t="e">
        <f t="shared" si="29"/>
        <v>#DIV/0!</v>
      </c>
      <c r="H542" s="155"/>
    </row>
    <row r="543" spans="1:8" s="35" customFormat="1" ht="33.75" customHeight="1">
      <c r="A543" s="62"/>
      <c r="B543" s="63"/>
      <c r="C543" s="63" t="s">
        <v>1418</v>
      </c>
      <c r="D543" s="38" t="s">
        <v>1419</v>
      </c>
      <c r="E543" s="64">
        <v>0</v>
      </c>
      <c r="F543" s="64">
        <v>400</v>
      </c>
      <c r="G543" s="40" t="e">
        <f>F543/E543*100</f>
        <v>#DIV/0!</v>
      </c>
      <c r="H543" s="155"/>
    </row>
    <row r="544" spans="1:8" s="35" customFormat="1" ht="30.75" customHeight="1" hidden="1">
      <c r="A544" s="62"/>
      <c r="B544" s="63"/>
      <c r="C544" s="63" t="s">
        <v>300</v>
      </c>
      <c r="D544" s="38" t="s">
        <v>1396</v>
      </c>
      <c r="E544" s="64">
        <v>0</v>
      </c>
      <c r="F544" s="64">
        <v>0</v>
      </c>
      <c r="G544" s="40" t="e">
        <f>F544/E544*100</f>
        <v>#DIV/0!</v>
      </c>
      <c r="H544" s="155"/>
    </row>
    <row r="545" spans="1:8" s="35" customFormat="1" ht="21.75" customHeight="1">
      <c r="A545" s="62"/>
      <c r="B545" s="63"/>
      <c r="C545" s="63" t="s">
        <v>680</v>
      </c>
      <c r="D545" s="79" t="s">
        <v>770</v>
      </c>
      <c r="E545" s="64">
        <v>8500</v>
      </c>
      <c r="F545" s="64">
        <v>1049.02</v>
      </c>
      <c r="G545" s="40">
        <f t="shared" si="29"/>
        <v>12.341411764705883</v>
      </c>
      <c r="H545" s="155"/>
    </row>
    <row r="546" spans="1:8" s="35" customFormat="1" ht="55.5" customHeight="1">
      <c r="A546" s="62"/>
      <c r="B546" s="63"/>
      <c r="C546" s="63" t="s">
        <v>699</v>
      </c>
      <c r="D546" s="38" t="s">
        <v>700</v>
      </c>
      <c r="E546" s="64">
        <v>15000</v>
      </c>
      <c r="F546" s="64">
        <v>0</v>
      </c>
      <c r="G546" s="40">
        <f t="shared" si="29"/>
        <v>0</v>
      </c>
      <c r="H546" s="155"/>
    </row>
    <row r="547" spans="1:8" s="35" customFormat="1" ht="73.5" customHeight="1">
      <c r="A547" s="62"/>
      <c r="B547" s="63"/>
      <c r="C547" s="63" t="s">
        <v>961</v>
      </c>
      <c r="D547" s="38" t="s">
        <v>566</v>
      </c>
      <c r="E547" s="64">
        <v>0</v>
      </c>
      <c r="F547" s="64">
        <v>1000</v>
      </c>
      <c r="G547" s="40" t="e">
        <f>F547/E547*100</f>
        <v>#DIV/0!</v>
      </c>
      <c r="H547" s="155"/>
    </row>
    <row r="548" spans="1:8" s="35" customFormat="1" ht="75.75" customHeight="1">
      <c r="A548" s="62"/>
      <c r="B548" s="63"/>
      <c r="C548" s="63" t="s">
        <v>1180</v>
      </c>
      <c r="D548" s="38" t="s">
        <v>1181</v>
      </c>
      <c r="E548" s="64">
        <v>218874</v>
      </c>
      <c r="F548" s="64">
        <v>0</v>
      </c>
      <c r="G548" s="40">
        <f t="shared" si="29"/>
        <v>0</v>
      </c>
      <c r="H548" s="155"/>
    </row>
    <row r="549" spans="1:8" s="35" customFormat="1" ht="50.25" customHeight="1" hidden="1">
      <c r="A549" s="62"/>
      <c r="B549" s="63"/>
      <c r="C549" s="63" t="s">
        <v>346</v>
      </c>
      <c r="D549" s="32" t="s">
        <v>551</v>
      </c>
      <c r="E549" s="64">
        <v>0</v>
      </c>
      <c r="F549" s="64">
        <v>0</v>
      </c>
      <c r="G549" s="40" t="e">
        <f t="shared" si="29"/>
        <v>#DIV/0!</v>
      </c>
      <c r="H549" s="155"/>
    </row>
    <row r="550" spans="1:8" s="35" customFormat="1" ht="75.75" customHeight="1" hidden="1">
      <c r="A550" s="62"/>
      <c r="B550" s="63"/>
      <c r="C550" s="63"/>
      <c r="D550" s="38" t="s">
        <v>552</v>
      </c>
      <c r="E550" s="64"/>
      <c r="F550" s="64"/>
      <c r="G550" s="40"/>
      <c r="H550" s="155"/>
    </row>
    <row r="551" spans="1:8" s="45" customFormat="1" ht="27.75" customHeight="1">
      <c r="A551" s="76" t="s">
        <v>115</v>
      </c>
      <c r="B551" s="77"/>
      <c r="C551" s="77"/>
      <c r="D551" s="174" t="s">
        <v>859</v>
      </c>
      <c r="E551" s="57">
        <f>SUM(E552,E555,E557,E560,E568)</f>
        <v>0</v>
      </c>
      <c r="F551" s="57">
        <f>SUM(F552,F555,F557,F560,F568)</f>
        <v>196.60999999999999</v>
      </c>
      <c r="G551" s="200" t="e">
        <f aca="true" t="shared" si="30" ref="G551:G556">F551/E551*100</f>
        <v>#DIV/0!</v>
      </c>
      <c r="H551" s="154"/>
    </row>
    <row r="552" spans="1:7" ht="21.75" customHeight="1" hidden="1">
      <c r="A552" s="70"/>
      <c r="B552" s="71" t="s">
        <v>860</v>
      </c>
      <c r="C552" s="71"/>
      <c r="D552" s="75" t="s">
        <v>861</v>
      </c>
      <c r="E552" s="59">
        <f>SUM(E553,E554)</f>
        <v>0</v>
      </c>
      <c r="F552" s="59">
        <f>SUM(F553,F554)</f>
        <v>0</v>
      </c>
      <c r="G552" s="40" t="e">
        <f t="shared" si="30"/>
        <v>#DIV/0!</v>
      </c>
    </row>
    <row r="553" spans="1:8" s="35" customFormat="1" ht="21.75" customHeight="1" hidden="1">
      <c r="A553" s="62"/>
      <c r="B553" s="63"/>
      <c r="C553" s="63" t="s">
        <v>680</v>
      </c>
      <c r="D553" s="79" t="s">
        <v>770</v>
      </c>
      <c r="E553" s="64">
        <v>0</v>
      </c>
      <c r="F553" s="64">
        <v>0</v>
      </c>
      <c r="G553" s="40" t="e">
        <f t="shared" si="30"/>
        <v>#DIV/0!</v>
      </c>
      <c r="H553" s="155"/>
    </row>
    <row r="554" spans="1:8" s="35" customFormat="1" ht="69.75" customHeight="1" hidden="1">
      <c r="A554" s="62"/>
      <c r="B554" s="63"/>
      <c r="C554" s="63" t="s">
        <v>961</v>
      </c>
      <c r="D554" s="38" t="s">
        <v>566</v>
      </c>
      <c r="E554" s="64">
        <v>0</v>
      </c>
      <c r="F554" s="64">
        <v>0</v>
      </c>
      <c r="G554" s="40" t="e">
        <f t="shared" si="30"/>
        <v>#DIV/0!</v>
      </c>
      <c r="H554" s="155"/>
    </row>
    <row r="555" spans="1:8" s="35" customFormat="1" ht="27.75" customHeight="1" hidden="1">
      <c r="A555" s="62"/>
      <c r="B555" s="71" t="s">
        <v>862</v>
      </c>
      <c r="C555" s="71"/>
      <c r="D555" s="75" t="s">
        <v>863</v>
      </c>
      <c r="E555" s="59">
        <f>SUM(E556)</f>
        <v>0</v>
      </c>
      <c r="F555" s="59">
        <f>SUM(F556)</f>
        <v>0</v>
      </c>
      <c r="G555" s="40" t="e">
        <f t="shared" si="30"/>
        <v>#DIV/0!</v>
      </c>
      <c r="H555" s="155"/>
    </row>
    <row r="556" spans="1:8" s="35" customFormat="1" ht="55.5" customHeight="1" hidden="1">
      <c r="A556" s="62"/>
      <c r="B556" s="63"/>
      <c r="C556" s="63" t="s">
        <v>386</v>
      </c>
      <c r="D556" s="38" t="s">
        <v>701</v>
      </c>
      <c r="E556" s="64">
        <v>0</v>
      </c>
      <c r="F556" s="64">
        <v>0</v>
      </c>
      <c r="G556" s="40" t="e">
        <f t="shared" si="30"/>
        <v>#DIV/0!</v>
      </c>
      <c r="H556" s="155"/>
    </row>
    <row r="557" spans="1:8" s="35" customFormat="1" ht="24.75" customHeight="1" hidden="1">
      <c r="A557" s="62"/>
      <c r="B557" s="71" t="s">
        <v>864</v>
      </c>
      <c r="C557" s="71"/>
      <c r="D557" s="75" t="s">
        <v>865</v>
      </c>
      <c r="E557" s="59">
        <f>SUM(E558,E559)</f>
        <v>0</v>
      </c>
      <c r="F557" s="59">
        <f>SUM(F558,F559)</f>
        <v>0</v>
      </c>
      <c r="G557" s="28" t="e">
        <f aca="true" t="shared" si="31" ref="G557:G576">F557/E557*100</f>
        <v>#DIV/0!</v>
      </c>
      <c r="H557" s="155"/>
    </row>
    <row r="558" spans="1:8" s="35" customFormat="1" ht="67.5" customHeight="1" hidden="1">
      <c r="A558" s="62"/>
      <c r="B558" s="63"/>
      <c r="C558" s="63" t="s">
        <v>409</v>
      </c>
      <c r="D558" s="61" t="s">
        <v>410</v>
      </c>
      <c r="E558" s="64">
        <v>0</v>
      </c>
      <c r="F558" s="64">
        <v>0</v>
      </c>
      <c r="G558" s="40" t="e">
        <f t="shared" si="31"/>
        <v>#DIV/0!</v>
      </c>
      <c r="H558" s="155"/>
    </row>
    <row r="559" spans="1:8" s="35" customFormat="1" ht="71.25" customHeight="1" hidden="1">
      <c r="A559" s="62"/>
      <c r="B559" s="63"/>
      <c r="C559" s="63" t="s">
        <v>961</v>
      </c>
      <c r="D559" s="38" t="s">
        <v>566</v>
      </c>
      <c r="E559" s="64">
        <v>0</v>
      </c>
      <c r="F559" s="64">
        <v>0</v>
      </c>
      <c r="G559" s="40" t="e">
        <f t="shared" si="31"/>
        <v>#DIV/0!</v>
      </c>
      <c r="H559" s="155"/>
    </row>
    <row r="560" spans="1:7" ht="21.75" customHeight="1" hidden="1">
      <c r="A560" s="70"/>
      <c r="B560" s="71" t="s">
        <v>533</v>
      </c>
      <c r="C560" s="71"/>
      <c r="D560" s="75" t="s">
        <v>534</v>
      </c>
      <c r="E560" s="59">
        <f>SUM(E561,E562,E563,E564,E566)</f>
        <v>0</v>
      </c>
      <c r="F560" s="59">
        <f>SUM(F561,F562,F563,F564,F566)</f>
        <v>0</v>
      </c>
      <c r="G560" s="40" t="e">
        <f t="shared" si="31"/>
        <v>#DIV/0!</v>
      </c>
    </row>
    <row r="561" spans="1:8" s="35" customFormat="1" ht="30.75" customHeight="1" hidden="1">
      <c r="A561" s="62"/>
      <c r="B561" s="63"/>
      <c r="C561" s="55" t="s">
        <v>681</v>
      </c>
      <c r="D561" s="38" t="s">
        <v>357</v>
      </c>
      <c r="E561" s="64">
        <v>0</v>
      </c>
      <c r="F561" s="64">
        <v>0</v>
      </c>
      <c r="G561" s="40" t="e">
        <f t="shared" si="31"/>
        <v>#DIV/0!</v>
      </c>
      <c r="H561" s="155"/>
    </row>
    <row r="562" spans="1:8" s="35" customFormat="1" ht="29.25" customHeight="1" hidden="1">
      <c r="A562" s="62"/>
      <c r="B562" s="63"/>
      <c r="C562" s="55" t="s">
        <v>356</v>
      </c>
      <c r="D562" s="32" t="s">
        <v>355</v>
      </c>
      <c r="E562" s="64">
        <v>0</v>
      </c>
      <c r="F562" s="64">
        <v>0</v>
      </c>
      <c r="G562" s="28" t="e">
        <f t="shared" si="31"/>
        <v>#DIV/0!</v>
      </c>
      <c r="H562" s="155"/>
    </row>
    <row r="563" spans="1:7" ht="69.75" customHeight="1" hidden="1">
      <c r="A563" s="30"/>
      <c r="B563" s="31"/>
      <c r="C563" s="66" t="s">
        <v>961</v>
      </c>
      <c r="D563" s="38" t="s">
        <v>566</v>
      </c>
      <c r="E563" s="51">
        <v>0</v>
      </c>
      <c r="F563" s="51">
        <v>0</v>
      </c>
      <c r="G563" s="40" t="e">
        <f t="shared" si="31"/>
        <v>#DIV/0!</v>
      </c>
    </row>
    <row r="564" spans="1:8" s="35" customFormat="1" ht="67.5" customHeight="1" hidden="1">
      <c r="A564" s="175"/>
      <c r="B564" s="176"/>
      <c r="C564" s="63" t="s">
        <v>296</v>
      </c>
      <c r="D564" s="68" t="s">
        <v>298</v>
      </c>
      <c r="E564" s="64">
        <v>0</v>
      </c>
      <c r="F564" s="64">
        <v>0</v>
      </c>
      <c r="G564" s="28" t="e">
        <f t="shared" si="31"/>
        <v>#DIV/0!</v>
      </c>
      <c r="H564" s="155"/>
    </row>
    <row r="565" spans="1:8" s="35" customFormat="1" ht="27" customHeight="1" hidden="1">
      <c r="A565" s="62"/>
      <c r="B565" s="63"/>
      <c r="C565" s="55"/>
      <c r="D565" s="38" t="s">
        <v>108</v>
      </c>
      <c r="E565" s="64"/>
      <c r="F565" s="64"/>
      <c r="G565" s="28" t="e">
        <f t="shared" si="31"/>
        <v>#DIV/0!</v>
      </c>
      <c r="H565" s="155"/>
    </row>
    <row r="566" spans="1:7" ht="71.25" customHeight="1" hidden="1">
      <c r="A566" s="62"/>
      <c r="B566" s="63"/>
      <c r="C566" s="55" t="s">
        <v>296</v>
      </c>
      <c r="D566" s="68" t="s">
        <v>298</v>
      </c>
      <c r="E566" s="64">
        <v>0</v>
      </c>
      <c r="F566" s="64">
        <v>0</v>
      </c>
      <c r="G566" s="28" t="e">
        <f t="shared" si="31"/>
        <v>#DIV/0!</v>
      </c>
    </row>
    <row r="567" spans="1:7" ht="29.25" customHeight="1" hidden="1">
      <c r="A567" s="62"/>
      <c r="B567" s="63"/>
      <c r="C567" s="55"/>
      <c r="D567" s="38" t="s">
        <v>108</v>
      </c>
      <c r="E567" s="64"/>
      <c r="F567" s="64"/>
      <c r="G567" s="28" t="e">
        <f t="shared" si="31"/>
        <v>#DIV/0!</v>
      </c>
    </row>
    <row r="568" spans="1:7" ht="21.75" customHeight="1">
      <c r="A568" s="70"/>
      <c r="B568" s="71" t="s">
        <v>866</v>
      </c>
      <c r="C568" s="71"/>
      <c r="D568" s="75" t="s">
        <v>176</v>
      </c>
      <c r="E568" s="59">
        <f>SUM(E569,E570,E571,E572,E573,E574,E575,E576)</f>
        <v>0</v>
      </c>
      <c r="F568" s="59">
        <f>SUM(F569,F570,F571,F572,F573,F574,F575,F576)</f>
        <v>196.60999999999999</v>
      </c>
      <c r="G568" s="28" t="e">
        <f t="shared" si="31"/>
        <v>#DIV/0!</v>
      </c>
    </row>
    <row r="569" spans="1:8" s="35" customFormat="1" ht="67.5" customHeight="1">
      <c r="A569" s="62"/>
      <c r="B569" s="63"/>
      <c r="C569" s="55" t="s">
        <v>409</v>
      </c>
      <c r="D569" s="61" t="s">
        <v>1395</v>
      </c>
      <c r="E569" s="64">
        <v>0</v>
      </c>
      <c r="F569" s="64">
        <v>0.48</v>
      </c>
      <c r="G569" s="40" t="e">
        <f>F569/E569*100</f>
        <v>#DIV/0!</v>
      </c>
      <c r="H569" s="155"/>
    </row>
    <row r="570" spans="1:8" s="35" customFormat="1" ht="21.75" customHeight="1" hidden="1">
      <c r="A570" s="62"/>
      <c r="B570" s="63"/>
      <c r="C570" s="55" t="s">
        <v>1451</v>
      </c>
      <c r="D570" s="79" t="s">
        <v>809</v>
      </c>
      <c r="E570" s="64">
        <v>0</v>
      </c>
      <c r="F570" s="64">
        <v>0</v>
      </c>
      <c r="G570" s="28" t="e">
        <f t="shared" si="31"/>
        <v>#DIV/0!</v>
      </c>
      <c r="H570" s="155"/>
    </row>
    <row r="571" spans="1:8" s="35" customFormat="1" ht="27.75" customHeight="1" hidden="1">
      <c r="A571" s="62"/>
      <c r="B571" s="63"/>
      <c r="C571" s="55" t="s">
        <v>1452</v>
      </c>
      <c r="D571" s="38" t="s">
        <v>301</v>
      </c>
      <c r="E571" s="64">
        <v>0</v>
      </c>
      <c r="F571" s="64">
        <v>0</v>
      </c>
      <c r="G571" s="40" t="e">
        <f t="shared" si="31"/>
        <v>#DIV/0!</v>
      </c>
      <c r="H571" s="155"/>
    </row>
    <row r="572" spans="1:8" s="35" customFormat="1" ht="22.5" customHeight="1" hidden="1">
      <c r="A572" s="62"/>
      <c r="B572" s="63"/>
      <c r="C572" s="55" t="s">
        <v>1453</v>
      </c>
      <c r="D572" s="79" t="s">
        <v>770</v>
      </c>
      <c r="E572" s="64">
        <v>0</v>
      </c>
      <c r="F572" s="64">
        <v>0</v>
      </c>
      <c r="G572" s="40" t="e">
        <f t="shared" si="31"/>
        <v>#DIV/0!</v>
      </c>
      <c r="H572" s="155"/>
    </row>
    <row r="573" spans="1:8" s="35" customFormat="1" ht="54.75" customHeight="1" hidden="1">
      <c r="A573" s="62"/>
      <c r="B573" s="63"/>
      <c r="C573" s="55" t="s">
        <v>1454</v>
      </c>
      <c r="D573" s="32" t="s">
        <v>797</v>
      </c>
      <c r="E573" s="64">
        <v>0</v>
      </c>
      <c r="F573" s="64">
        <v>0</v>
      </c>
      <c r="G573" s="40" t="e">
        <f t="shared" si="31"/>
        <v>#DIV/0!</v>
      </c>
      <c r="H573" s="155"/>
    </row>
    <row r="574" spans="1:8" s="35" customFormat="1" ht="67.5" customHeight="1" hidden="1">
      <c r="A574" s="62"/>
      <c r="B574" s="63"/>
      <c r="C574" s="55" t="s">
        <v>1455</v>
      </c>
      <c r="D574" s="38" t="s">
        <v>566</v>
      </c>
      <c r="E574" s="64">
        <v>0</v>
      </c>
      <c r="F574" s="64">
        <v>0</v>
      </c>
      <c r="G574" s="40" t="e">
        <f t="shared" si="31"/>
        <v>#DIV/0!</v>
      </c>
      <c r="H574" s="155"/>
    </row>
    <row r="575" spans="1:8" s="35" customFormat="1" ht="35.25" customHeight="1">
      <c r="A575" s="62"/>
      <c r="B575" s="63"/>
      <c r="C575" s="55" t="s">
        <v>1426</v>
      </c>
      <c r="D575" s="32" t="s">
        <v>1427</v>
      </c>
      <c r="E575" s="64">
        <v>0</v>
      </c>
      <c r="F575" s="64">
        <v>196.13</v>
      </c>
      <c r="G575" s="40" t="e">
        <f>F575/E575*100</f>
        <v>#DIV/0!</v>
      </c>
      <c r="H575" s="155"/>
    </row>
    <row r="576" spans="1:8" s="35" customFormat="1" ht="66" customHeight="1" hidden="1">
      <c r="A576" s="62"/>
      <c r="B576" s="63"/>
      <c r="C576" s="63" t="s">
        <v>385</v>
      </c>
      <c r="D576" s="38" t="s">
        <v>655</v>
      </c>
      <c r="E576" s="64">
        <v>0</v>
      </c>
      <c r="F576" s="64">
        <v>0</v>
      </c>
      <c r="G576" s="28" t="e">
        <f t="shared" si="31"/>
        <v>#DIV/0!</v>
      </c>
      <c r="H576" s="155"/>
    </row>
    <row r="577" spans="1:7" ht="21" customHeight="1">
      <c r="A577" s="76" t="s">
        <v>116</v>
      </c>
      <c r="B577" s="77"/>
      <c r="C577" s="195"/>
      <c r="D577" s="174" t="s">
        <v>103</v>
      </c>
      <c r="E577" s="57">
        <f>SUM(E578,E589,E599)</f>
        <v>1103987</v>
      </c>
      <c r="F577" s="57">
        <f>SUM(F578,F589,F599)</f>
        <v>3223.05</v>
      </c>
      <c r="G577" s="22">
        <f aca="true" t="shared" si="32" ref="G577:G584">F577/E577*100</f>
        <v>0.29194637255692324</v>
      </c>
    </row>
    <row r="578" spans="1:10" s="35" customFormat="1" ht="18" customHeight="1">
      <c r="A578" s="70"/>
      <c r="B578" s="71" t="s">
        <v>119</v>
      </c>
      <c r="C578" s="169"/>
      <c r="D578" s="73" t="s">
        <v>120</v>
      </c>
      <c r="E578" s="59">
        <f>SUM(E579,E580,E581,E582,E584,E585,E587,E588)</f>
        <v>1103987</v>
      </c>
      <c r="F578" s="59">
        <f>SUM(F579,F580,F581,F582,F584,F585,F587,F588)</f>
        <v>0</v>
      </c>
      <c r="G578" s="28">
        <f t="shared" si="32"/>
        <v>0</v>
      </c>
      <c r="H578" s="155"/>
      <c r="I578" s="1371"/>
      <c r="J578" s="180"/>
    </row>
    <row r="579" spans="1:8" s="35" customFormat="1" ht="30.75" customHeight="1" hidden="1">
      <c r="A579" s="62"/>
      <c r="B579" s="63"/>
      <c r="C579" s="55" t="s">
        <v>681</v>
      </c>
      <c r="D579" s="32" t="s">
        <v>1391</v>
      </c>
      <c r="E579" s="64">
        <v>0</v>
      </c>
      <c r="F579" s="64">
        <v>0</v>
      </c>
      <c r="G579" s="28" t="e">
        <f t="shared" si="32"/>
        <v>#DIV/0!</v>
      </c>
      <c r="H579" s="155"/>
    </row>
    <row r="580" spans="1:8" s="35" customFormat="1" ht="29.25" customHeight="1" hidden="1">
      <c r="A580" s="62"/>
      <c r="B580" s="63"/>
      <c r="C580" s="55" t="s">
        <v>356</v>
      </c>
      <c r="D580" s="32" t="s">
        <v>355</v>
      </c>
      <c r="E580" s="64">
        <v>0</v>
      </c>
      <c r="F580" s="160">
        <v>0</v>
      </c>
      <c r="G580" s="34" t="e">
        <f t="shared" si="32"/>
        <v>#DIV/0!</v>
      </c>
      <c r="H580" s="155"/>
    </row>
    <row r="581" spans="1:8" s="35" customFormat="1" ht="21.75" customHeight="1" hidden="1">
      <c r="A581" s="157"/>
      <c r="B581" s="158"/>
      <c r="C581" s="158" t="s">
        <v>680</v>
      </c>
      <c r="D581" s="159" t="s">
        <v>770</v>
      </c>
      <c r="E581" s="160">
        <v>0</v>
      </c>
      <c r="F581" s="160">
        <v>0</v>
      </c>
      <c r="G581" s="34" t="e">
        <f t="shared" si="32"/>
        <v>#DIV/0!</v>
      </c>
      <c r="H581" s="155"/>
    </row>
    <row r="582" spans="1:8" s="35" customFormat="1" ht="67.5" customHeight="1" hidden="1">
      <c r="A582" s="157"/>
      <c r="B582" s="158"/>
      <c r="C582" s="63" t="s">
        <v>296</v>
      </c>
      <c r="D582" s="68" t="s">
        <v>298</v>
      </c>
      <c r="E582" s="160">
        <v>0</v>
      </c>
      <c r="F582" s="160">
        <v>0</v>
      </c>
      <c r="G582" s="34" t="e">
        <f t="shared" si="32"/>
        <v>#DIV/0!</v>
      </c>
      <c r="H582" s="155"/>
    </row>
    <row r="583" spans="1:8" s="35" customFormat="1" ht="27.75" customHeight="1" hidden="1">
      <c r="A583" s="157"/>
      <c r="B583" s="158"/>
      <c r="C583" s="55"/>
      <c r="D583" s="38" t="s">
        <v>108</v>
      </c>
      <c r="E583" s="160"/>
      <c r="F583" s="160"/>
      <c r="G583" s="34"/>
      <c r="H583" s="155"/>
    </row>
    <row r="584" spans="1:8" s="45" customFormat="1" ht="70.5" customHeight="1">
      <c r="A584" s="70"/>
      <c r="B584" s="71"/>
      <c r="C584" s="63" t="s">
        <v>385</v>
      </c>
      <c r="D584" s="38" t="s">
        <v>655</v>
      </c>
      <c r="E584" s="64">
        <v>1103987</v>
      </c>
      <c r="F584" s="64">
        <v>0</v>
      </c>
      <c r="G584" s="40">
        <f t="shared" si="32"/>
        <v>0</v>
      </c>
      <c r="H584" s="154"/>
    </row>
    <row r="585" spans="1:7" ht="53.25" customHeight="1" hidden="1">
      <c r="A585" s="62"/>
      <c r="B585" s="63"/>
      <c r="C585" s="55" t="s">
        <v>346</v>
      </c>
      <c r="D585" s="32" t="s">
        <v>551</v>
      </c>
      <c r="E585" s="64">
        <v>0</v>
      </c>
      <c r="F585" s="64">
        <v>0</v>
      </c>
      <c r="G585" s="40" t="e">
        <f>F585/E585*100</f>
        <v>#DIV/0!</v>
      </c>
    </row>
    <row r="586" spans="1:7" ht="65.25" customHeight="1" hidden="1">
      <c r="A586" s="62"/>
      <c r="B586" s="63"/>
      <c r="C586" s="55"/>
      <c r="D586" s="38" t="s">
        <v>1272</v>
      </c>
      <c r="E586" s="64"/>
      <c r="F586" s="64"/>
      <c r="G586" s="40"/>
    </row>
    <row r="587" spans="1:8" s="45" customFormat="1" ht="54" customHeight="1" hidden="1">
      <c r="A587" s="70"/>
      <c r="B587" s="71"/>
      <c r="C587" s="63" t="s">
        <v>386</v>
      </c>
      <c r="D587" s="38" t="s">
        <v>843</v>
      </c>
      <c r="E587" s="64">
        <v>0</v>
      </c>
      <c r="F587" s="64">
        <v>0</v>
      </c>
      <c r="G587" s="40" t="e">
        <f aca="true" t="shared" si="33" ref="G587:G595">F587/E587*100</f>
        <v>#DIV/0!</v>
      </c>
      <c r="H587" s="154"/>
    </row>
    <row r="588" spans="1:8" s="194" customFormat="1" ht="42" customHeight="1" hidden="1">
      <c r="A588" s="157"/>
      <c r="B588" s="158"/>
      <c r="C588" s="178" t="s">
        <v>431</v>
      </c>
      <c r="D588" s="196" t="s">
        <v>469</v>
      </c>
      <c r="E588" s="160">
        <v>0</v>
      </c>
      <c r="F588" s="160">
        <v>0</v>
      </c>
      <c r="G588" s="34" t="e">
        <f t="shared" si="33"/>
        <v>#DIV/0!</v>
      </c>
      <c r="H588" s="193"/>
    </row>
    <row r="589" spans="1:7" ht="19.5" customHeight="1">
      <c r="A589" s="70"/>
      <c r="B589" s="187" t="s">
        <v>121</v>
      </c>
      <c r="C589" s="201"/>
      <c r="D589" s="202" t="s">
        <v>107</v>
      </c>
      <c r="E589" s="190">
        <f>SUM(E590:E597)</f>
        <v>0</v>
      </c>
      <c r="F589" s="190">
        <f>SUM(F590:F597)</f>
        <v>3223.05</v>
      </c>
      <c r="G589" s="54" t="e">
        <f t="shared" si="33"/>
        <v>#DIV/0!</v>
      </c>
    </row>
    <row r="590" spans="1:7" ht="66" customHeight="1">
      <c r="A590" s="70"/>
      <c r="B590" s="187"/>
      <c r="C590" s="63" t="s">
        <v>409</v>
      </c>
      <c r="D590" s="61" t="s">
        <v>1395</v>
      </c>
      <c r="E590" s="64">
        <v>0</v>
      </c>
      <c r="F590" s="64">
        <v>7.05</v>
      </c>
      <c r="G590" s="40" t="e">
        <f t="shared" si="33"/>
        <v>#DIV/0!</v>
      </c>
    </row>
    <row r="591" spans="1:8" s="35" customFormat="1" ht="22.5" customHeight="1" hidden="1">
      <c r="A591" s="62"/>
      <c r="B591" s="63"/>
      <c r="C591" s="63" t="s">
        <v>680</v>
      </c>
      <c r="D591" s="79" t="s">
        <v>770</v>
      </c>
      <c r="E591" s="160">
        <v>0</v>
      </c>
      <c r="F591" s="160">
        <v>0</v>
      </c>
      <c r="G591" s="34" t="e">
        <f t="shared" si="33"/>
        <v>#DIV/0!</v>
      </c>
      <c r="H591" s="155"/>
    </row>
    <row r="592" spans="1:8" s="35" customFormat="1" ht="43.5" customHeight="1" hidden="1">
      <c r="A592" s="157"/>
      <c r="B592" s="158"/>
      <c r="C592" s="158" t="s">
        <v>420</v>
      </c>
      <c r="D592" s="196" t="s">
        <v>157</v>
      </c>
      <c r="E592" s="160">
        <v>0</v>
      </c>
      <c r="F592" s="160">
        <v>0</v>
      </c>
      <c r="G592" s="34" t="e">
        <f t="shared" si="33"/>
        <v>#DIV/0!</v>
      </c>
      <c r="H592" s="155"/>
    </row>
    <row r="593" spans="1:7" ht="71.25" customHeight="1" hidden="1">
      <c r="A593" s="157"/>
      <c r="B593" s="158"/>
      <c r="C593" s="178" t="s">
        <v>961</v>
      </c>
      <c r="D593" s="196" t="s">
        <v>359</v>
      </c>
      <c r="E593" s="160">
        <v>0</v>
      </c>
      <c r="F593" s="160">
        <v>0</v>
      </c>
      <c r="G593" s="34" t="e">
        <f t="shared" si="33"/>
        <v>#DIV/0!</v>
      </c>
    </row>
    <row r="594" spans="1:8" ht="32.25" customHeight="1">
      <c r="A594" s="1376"/>
      <c r="B594" s="205"/>
      <c r="C594" s="1377" t="s">
        <v>1426</v>
      </c>
      <c r="D594" s="1378" t="s">
        <v>1427</v>
      </c>
      <c r="E594" s="207">
        <v>0</v>
      </c>
      <c r="F594" s="207">
        <v>3216</v>
      </c>
      <c r="G594" s="208" t="e">
        <f>F594/E594*100</f>
        <v>#DIV/0!</v>
      </c>
      <c r="H594" s="154" t="s">
        <v>1456</v>
      </c>
    </row>
    <row r="595" spans="1:8" s="35" customFormat="1" ht="90" customHeight="1" hidden="1">
      <c r="A595" s="157"/>
      <c r="B595" s="158"/>
      <c r="C595" s="63" t="s">
        <v>296</v>
      </c>
      <c r="D595" s="68" t="s">
        <v>1397</v>
      </c>
      <c r="E595" s="160">
        <v>0</v>
      </c>
      <c r="F595" s="160">
        <v>0</v>
      </c>
      <c r="G595" s="34" t="e">
        <f t="shared" si="33"/>
        <v>#DIV/0!</v>
      </c>
      <c r="H595" s="155"/>
    </row>
    <row r="596" spans="1:8" s="35" customFormat="1" ht="25.5" customHeight="1" hidden="1">
      <c r="A596" s="157"/>
      <c r="B596" s="158"/>
      <c r="C596" s="178"/>
      <c r="D596" s="196" t="s">
        <v>108</v>
      </c>
      <c r="E596" s="160"/>
      <c r="F596" s="160"/>
      <c r="G596" s="54"/>
      <c r="H596" s="155"/>
    </row>
    <row r="597" spans="1:7" ht="53.25" customHeight="1" hidden="1">
      <c r="A597" s="62"/>
      <c r="B597" s="63"/>
      <c r="C597" s="55" t="s">
        <v>346</v>
      </c>
      <c r="D597" s="32" t="s">
        <v>551</v>
      </c>
      <c r="E597" s="64">
        <v>0</v>
      </c>
      <c r="F597" s="64">
        <v>0</v>
      </c>
      <c r="G597" s="40" t="e">
        <f>F597/E597*100</f>
        <v>#DIV/0!</v>
      </c>
    </row>
    <row r="598" spans="1:7" ht="66" customHeight="1" hidden="1">
      <c r="A598" s="157"/>
      <c r="B598" s="158"/>
      <c r="C598" s="178"/>
      <c r="D598" s="196" t="s">
        <v>1272</v>
      </c>
      <c r="E598" s="160"/>
      <c r="F598" s="160"/>
      <c r="G598" s="34"/>
    </row>
    <row r="599" spans="1:7" ht="21.75" customHeight="1" hidden="1">
      <c r="A599" s="70"/>
      <c r="B599" s="187" t="s">
        <v>387</v>
      </c>
      <c r="C599" s="201"/>
      <c r="D599" s="202" t="s">
        <v>176</v>
      </c>
      <c r="E599" s="190">
        <f>SUM(E600,E601)</f>
        <v>0</v>
      </c>
      <c r="F599" s="190">
        <f>SUM(F600,F601)</f>
        <v>0</v>
      </c>
      <c r="G599" s="54" t="e">
        <f>F599/E599*100</f>
        <v>#DIV/0!</v>
      </c>
    </row>
    <row r="600" spans="1:7" ht="44.25" customHeight="1" hidden="1">
      <c r="A600" s="62"/>
      <c r="B600" s="158"/>
      <c r="C600" s="178" t="s">
        <v>388</v>
      </c>
      <c r="D600" s="196" t="s">
        <v>845</v>
      </c>
      <c r="E600" s="160">
        <v>0</v>
      </c>
      <c r="F600" s="160">
        <v>0</v>
      </c>
      <c r="G600" s="34" t="e">
        <f>F600/E600*100</f>
        <v>#DIV/0!</v>
      </c>
    </row>
    <row r="601" spans="1:8" s="45" customFormat="1" ht="57" customHeight="1" hidden="1">
      <c r="A601" s="203"/>
      <c r="B601" s="204"/>
      <c r="C601" s="205" t="s">
        <v>385</v>
      </c>
      <c r="D601" s="206" t="s">
        <v>389</v>
      </c>
      <c r="E601" s="207">
        <v>0</v>
      </c>
      <c r="F601" s="207">
        <v>0</v>
      </c>
      <c r="G601" s="208" t="e">
        <f>F601/E601*100</f>
        <v>#DIV/0!</v>
      </c>
      <c r="H601" s="154"/>
    </row>
    <row r="602" spans="1:8" s="225" customFormat="1" ht="19.5" customHeight="1">
      <c r="A602" s="1471" t="s">
        <v>769</v>
      </c>
      <c r="B602" s="1472"/>
      <c r="C602" s="1472"/>
      <c r="D602" s="1473"/>
      <c r="E602" s="223">
        <f>SUM(E603,E608,E633,E638,E660,E672,E683,E686,E698,E742,E756,E714,E787,E811,E831,E844)</f>
        <v>72197008</v>
      </c>
      <c r="F602" s="223">
        <f>SUM(F603,F608,F633,F638,F660,F672,F683,F686,F698,F742,F756,F714,F787,F811,F831,F844)</f>
        <v>34785116.97999999</v>
      </c>
      <c r="G602" s="224">
        <f aca="true" t="shared" si="34" ref="G602:G630">F602/E602*100</f>
        <v>48.18082901718031</v>
      </c>
      <c r="H602" s="166"/>
    </row>
    <row r="603" spans="1:8" s="284" customFormat="1" ht="16.5" customHeight="1" hidden="1">
      <c r="A603" s="18" t="s">
        <v>175</v>
      </c>
      <c r="B603" s="19"/>
      <c r="C603" s="19"/>
      <c r="D603" s="20" t="s">
        <v>1078</v>
      </c>
      <c r="E603" s="21">
        <f>SUM(E604,E607)</f>
        <v>0</v>
      </c>
      <c r="F603" s="21">
        <f>SUM(F604,F607)</f>
        <v>0</v>
      </c>
      <c r="G603" s="22" t="e">
        <f t="shared" si="34"/>
        <v>#DIV/0!</v>
      </c>
      <c r="H603" s="209"/>
    </row>
    <row r="604" spans="1:8" s="211" customFormat="1" ht="30.75" customHeight="1" hidden="1">
      <c r="A604" s="24"/>
      <c r="B604" s="25" t="s">
        <v>293</v>
      </c>
      <c r="C604" s="25"/>
      <c r="D604" s="1379" t="s">
        <v>295</v>
      </c>
      <c r="E604" s="27">
        <f>SUM(E605)</f>
        <v>0</v>
      </c>
      <c r="F604" s="27">
        <f>SUM(F605)</f>
        <v>0</v>
      </c>
      <c r="G604" s="28" t="e">
        <f t="shared" si="34"/>
        <v>#DIV/0!</v>
      </c>
      <c r="H604" s="209"/>
    </row>
    <row r="605" spans="1:8" s="211" customFormat="1" ht="59.25" customHeight="1" hidden="1">
      <c r="A605" s="30"/>
      <c r="B605" s="36"/>
      <c r="C605" s="36" t="s">
        <v>294</v>
      </c>
      <c r="D605" s="32" t="s">
        <v>703</v>
      </c>
      <c r="E605" s="39">
        <v>0</v>
      </c>
      <c r="F605" s="39">
        <v>0</v>
      </c>
      <c r="G605" s="40" t="e">
        <f t="shared" si="34"/>
        <v>#DIV/0!</v>
      </c>
      <c r="H605" s="209"/>
    </row>
    <row r="606" spans="1:8" s="211" customFormat="1" ht="21.75" customHeight="1" hidden="1">
      <c r="A606" s="24"/>
      <c r="B606" s="25" t="s">
        <v>1083</v>
      </c>
      <c r="C606" s="25"/>
      <c r="D606" s="1379" t="s">
        <v>176</v>
      </c>
      <c r="E606" s="27">
        <f>SUM(E607)</f>
        <v>0</v>
      </c>
      <c r="F606" s="27">
        <f>SUM(F607)</f>
        <v>0</v>
      </c>
      <c r="G606" s="28" t="e">
        <f>F606/E606*100</f>
        <v>#DIV/0!</v>
      </c>
      <c r="H606" s="209"/>
    </row>
    <row r="607" spans="1:8" s="211" customFormat="1" ht="59.25" customHeight="1" hidden="1">
      <c r="A607" s="30"/>
      <c r="B607" s="36"/>
      <c r="C607" s="36" t="s">
        <v>294</v>
      </c>
      <c r="D607" s="32" t="s">
        <v>703</v>
      </c>
      <c r="E607" s="39">
        <v>0</v>
      </c>
      <c r="F607" s="39">
        <v>0</v>
      </c>
      <c r="G607" s="40" t="e">
        <f>F607/E607*100</f>
        <v>#DIV/0!</v>
      </c>
      <c r="H607" s="209"/>
    </row>
    <row r="608" spans="1:8" s="210" customFormat="1" ht="21.75" customHeight="1">
      <c r="A608" s="18" t="s">
        <v>263</v>
      </c>
      <c r="B608" s="42"/>
      <c r="C608" s="42"/>
      <c r="D608" s="52" t="s">
        <v>264</v>
      </c>
      <c r="E608" s="44">
        <f>SUM(E609,E613)</f>
        <v>2903849</v>
      </c>
      <c r="F608" s="44">
        <f>SUM(F609,F613)</f>
        <v>342941.1599999999</v>
      </c>
      <c r="G608" s="22">
        <f t="shared" si="34"/>
        <v>11.80988267640638</v>
      </c>
      <c r="H608" s="209"/>
    </row>
    <row r="609" spans="1:8" s="211" customFormat="1" ht="19.5" customHeight="1" hidden="1">
      <c r="A609" s="24"/>
      <c r="B609" s="46" t="s">
        <v>651</v>
      </c>
      <c r="C609" s="46"/>
      <c r="D609" s="26" t="s">
        <v>347</v>
      </c>
      <c r="E609" s="48">
        <f>SUM(E610,E611)</f>
        <v>0</v>
      </c>
      <c r="F609" s="48">
        <f>SUM(F610,F611)</f>
        <v>0</v>
      </c>
      <c r="G609" s="28" t="e">
        <f t="shared" si="34"/>
        <v>#DIV/0!</v>
      </c>
      <c r="H609" s="209"/>
    </row>
    <row r="610" spans="1:8" s="35" customFormat="1" ht="29.25" customHeight="1" hidden="1">
      <c r="A610" s="62"/>
      <c r="B610" s="63"/>
      <c r="C610" s="55" t="s">
        <v>356</v>
      </c>
      <c r="D610" s="32" t="s">
        <v>355</v>
      </c>
      <c r="E610" s="64">
        <v>0</v>
      </c>
      <c r="F610" s="51">
        <v>0</v>
      </c>
      <c r="G610" s="28" t="e">
        <f t="shared" si="34"/>
        <v>#DIV/0!</v>
      </c>
      <c r="H610" s="155"/>
    </row>
    <row r="611" spans="1:8" s="69" customFormat="1" ht="54" customHeight="1" hidden="1">
      <c r="A611" s="30"/>
      <c r="B611" s="31"/>
      <c r="C611" s="31" t="s">
        <v>346</v>
      </c>
      <c r="D611" s="32" t="s">
        <v>650</v>
      </c>
      <c r="E611" s="51">
        <v>0</v>
      </c>
      <c r="F611" s="51">
        <v>0</v>
      </c>
      <c r="G611" s="40" t="e">
        <f t="shared" si="34"/>
        <v>#DIV/0!</v>
      </c>
      <c r="H611" s="156"/>
    </row>
    <row r="612" spans="1:8" s="69" customFormat="1" ht="65.25" customHeight="1" hidden="1">
      <c r="A612" s="30"/>
      <c r="B612" s="31"/>
      <c r="C612" s="31"/>
      <c r="D612" s="32" t="s">
        <v>889</v>
      </c>
      <c r="E612" s="51"/>
      <c r="F612" s="51"/>
      <c r="G612" s="28"/>
      <c r="H612" s="156"/>
    </row>
    <row r="613" spans="1:8" s="211" customFormat="1" ht="39" customHeight="1">
      <c r="A613" s="24"/>
      <c r="B613" s="46" t="s">
        <v>265</v>
      </c>
      <c r="C613" s="46"/>
      <c r="D613" s="26" t="s">
        <v>421</v>
      </c>
      <c r="E613" s="48">
        <f>SUM(E614,E615,E616,E617,E618,E619,E620,E621,E622,E623,E624,E625,E627,E628,E630,E632)</f>
        <v>2903849</v>
      </c>
      <c r="F613" s="48">
        <f>SUM(F614,F615,F616,F617,F618,F619,F620,F621,F622,F623,F624,F625,F627,F628,F630,F632)</f>
        <v>342941.1599999999</v>
      </c>
      <c r="G613" s="28">
        <f t="shared" si="34"/>
        <v>11.80988267640638</v>
      </c>
      <c r="H613" s="209"/>
    </row>
    <row r="614" spans="1:8" s="69" customFormat="1" ht="27" customHeight="1" hidden="1">
      <c r="A614" s="30"/>
      <c r="B614" s="31"/>
      <c r="C614" s="31" t="s">
        <v>681</v>
      </c>
      <c r="D614" s="32" t="s">
        <v>1391</v>
      </c>
      <c r="E614" s="51">
        <v>0</v>
      </c>
      <c r="F614" s="51">
        <v>0</v>
      </c>
      <c r="G614" s="40" t="e">
        <f t="shared" si="34"/>
        <v>#DIV/0!</v>
      </c>
      <c r="H614" s="156"/>
    </row>
    <row r="615" spans="1:8" s="69" customFormat="1" ht="27.75" customHeight="1" hidden="1">
      <c r="A615" s="30"/>
      <c r="B615" s="31"/>
      <c r="C615" s="31" t="s">
        <v>356</v>
      </c>
      <c r="D615" s="32" t="s">
        <v>1392</v>
      </c>
      <c r="E615" s="51">
        <v>0</v>
      </c>
      <c r="F615" s="51">
        <v>0</v>
      </c>
      <c r="G615" s="40" t="e">
        <f t="shared" si="34"/>
        <v>#DIV/0!</v>
      </c>
      <c r="H615" s="156"/>
    </row>
    <row r="616" spans="1:8" s="69" customFormat="1" ht="27.75" customHeight="1" hidden="1">
      <c r="A616" s="30"/>
      <c r="B616" s="31"/>
      <c r="C616" s="31" t="s">
        <v>682</v>
      </c>
      <c r="D616" s="32" t="s">
        <v>767</v>
      </c>
      <c r="E616" s="51">
        <v>0</v>
      </c>
      <c r="F616" s="51">
        <v>0</v>
      </c>
      <c r="G616" s="40" t="e">
        <f t="shared" si="34"/>
        <v>#DIV/0!</v>
      </c>
      <c r="H616" s="156"/>
    </row>
    <row r="617" spans="1:8" s="69" customFormat="1" ht="70.5" customHeight="1">
      <c r="A617" s="30"/>
      <c r="B617" s="31"/>
      <c r="C617" s="31" t="s">
        <v>683</v>
      </c>
      <c r="D617" s="32" t="s">
        <v>1375</v>
      </c>
      <c r="E617" s="51">
        <v>445500</v>
      </c>
      <c r="F617" s="51">
        <v>244477.66</v>
      </c>
      <c r="G617" s="40">
        <f t="shared" si="34"/>
        <v>54.87714029180696</v>
      </c>
      <c r="H617" s="156"/>
    </row>
    <row r="618" spans="1:8" s="69" customFormat="1" ht="27.75" customHeight="1">
      <c r="A618" s="30"/>
      <c r="B618" s="31"/>
      <c r="C618" s="31" t="s">
        <v>678</v>
      </c>
      <c r="D618" s="32" t="s">
        <v>811</v>
      </c>
      <c r="E618" s="51">
        <v>120000</v>
      </c>
      <c r="F618" s="51">
        <v>55496.56</v>
      </c>
      <c r="G618" s="40">
        <f t="shared" si="34"/>
        <v>46.24713333333333</v>
      </c>
      <c r="H618" s="156"/>
    </row>
    <row r="619" spans="1:8" s="69" customFormat="1" ht="27.75" customHeight="1" hidden="1">
      <c r="A619" s="30"/>
      <c r="B619" s="31"/>
      <c r="C619" s="31" t="s">
        <v>304</v>
      </c>
      <c r="D619" s="32" t="s">
        <v>654</v>
      </c>
      <c r="E619" s="51">
        <v>0</v>
      </c>
      <c r="F619" s="51">
        <v>0</v>
      </c>
      <c r="G619" s="40" t="e">
        <f t="shared" si="34"/>
        <v>#DIV/0!</v>
      </c>
      <c r="H619" s="156"/>
    </row>
    <row r="620" spans="1:8" s="69" customFormat="1" ht="27.75" customHeight="1">
      <c r="A620" s="30"/>
      <c r="B620" s="31"/>
      <c r="C620" s="31" t="s">
        <v>667</v>
      </c>
      <c r="D620" s="32" t="s">
        <v>666</v>
      </c>
      <c r="E620" s="51">
        <v>4000</v>
      </c>
      <c r="F620" s="51">
        <v>3035.61</v>
      </c>
      <c r="G620" s="40">
        <f t="shared" si="34"/>
        <v>75.89025000000001</v>
      </c>
      <c r="H620" s="156"/>
    </row>
    <row r="621" spans="1:8" s="69" customFormat="1" ht="18.75" customHeight="1">
      <c r="A621" s="30"/>
      <c r="B621" s="31"/>
      <c r="C621" s="63" t="s">
        <v>679</v>
      </c>
      <c r="D621" s="32" t="s">
        <v>1377</v>
      </c>
      <c r="E621" s="51">
        <v>500</v>
      </c>
      <c r="F621" s="51">
        <v>408.72</v>
      </c>
      <c r="G621" s="34">
        <f t="shared" si="34"/>
        <v>81.744</v>
      </c>
      <c r="H621" s="156"/>
    </row>
    <row r="622" spans="1:8" s="69" customFormat="1" ht="31.5" customHeight="1">
      <c r="A622" s="30"/>
      <c r="B622" s="31"/>
      <c r="C622" s="31" t="s">
        <v>1418</v>
      </c>
      <c r="D622" s="38" t="s">
        <v>1419</v>
      </c>
      <c r="E622" s="51">
        <v>0</v>
      </c>
      <c r="F622" s="51">
        <v>200</v>
      </c>
      <c r="G622" s="34" t="e">
        <f>F622/E622*100</f>
        <v>#DIV/0!</v>
      </c>
      <c r="H622" s="156"/>
    </row>
    <row r="623" spans="1:8" s="69" customFormat="1" ht="18" customHeight="1">
      <c r="A623" s="30"/>
      <c r="B623" s="31"/>
      <c r="C623" s="31" t="s">
        <v>680</v>
      </c>
      <c r="D623" s="32" t="s">
        <v>770</v>
      </c>
      <c r="E623" s="51">
        <v>0</v>
      </c>
      <c r="F623" s="51">
        <v>19322.43</v>
      </c>
      <c r="G623" s="34" t="e">
        <f t="shared" si="34"/>
        <v>#DIV/0!</v>
      </c>
      <c r="H623" s="156"/>
    </row>
    <row r="624" spans="1:8" s="69" customFormat="1" ht="41.25" customHeight="1" hidden="1">
      <c r="A624" s="30"/>
      <c r="B624" s="31"/>
      <c r="C624" s="31" t="s">
        <v>253</v>
      </c>
      <c r="D624" s="32" t="s">
        <v>1116</v>
      </c>
      <c r="E624" s="51">
        <v>0</v>
      </c>
      <c r="F624" s="51">
        <v>0</v>
      </c>
      <c r="G624" s="34" t="e">
        <f t="shared" si="34"/>
        <v>#DIV/0!</v>
      </c>
      <c r="H624" s="156"/>
    </row>
    <row r="625" spans="1:8" s="69" customFormat="1" ht="87.75" customHeight="1">
      <c r="A625" s="30"/>
      <c r="B625" s="31"/>
      <c r="C625" s="31" t="s">
        <v>296</v>
      </c>
      <c r="D625" s="68" t="s">
        <v>1378</v>
      </c>
      <c r="E625" s="51">
        <v>2333849</v>
      </c>
      <c r="F625" s="51">
        <v>0</v>
      </c>
      <c r="G625" s="34">
        <f t="shared" si="34"/>
        <v>0</v>
      </c>
      <c r="H625" s="156"/>
    </row>
    <row r="626" spans="1:8" s="69" customFormat="1" ht="26.25" customHeight="1">
      <c r="A626" s="30"/>
      <c r="B626" s="31"/>
      <c r="C626" s="31"/>
      <c r="D626" s="38" t="s">
        <v>108</v>
      </c>
      <c r="E626" s="51"/>
      <c r="F626" s="51"/>
      <c r="G626" s="34"/>
      <c r="H626" s="156"/>
    </row>
    <row r="627" spans="1:8" s="69" customFormat="1" ht="66" customHeight="1">
      <c r="A627" s="30"/>
      <c r="B627" s="31"/>
      <c r="C627" s="31" t="s">
        <v>436</v>
      </c>
      <c r="D627" s="32" t="s">
        <v>1398</v>
      </c>
      <c r="E627" s="39">
        <v>0</v>
      </c>
      <c r="F627" s="39">
        <v>20000.18</v>
      </c>
      <c r="G627" s="34" t="e">
        <f t="shared" si="34"/>
        <v>#DIV/0!</v>
      </c>
      <c r="H627" s="156"/>
    </row>
    <row r="628" spans="1:8" s="69" customFormat="1" ht="66" customHeight="1" hidden="1">
      <c r="A628" s="30"/>
      <c r="B628" s="60"/>
      <c r="C628" s="31" t="s">
        <v>346</v>
      </c>
      <c r="D628" s="32" t="s">
        <v>1398</v>
      </c>
      <c r="E628" s="39">
        <v>0</v>
      </c>
      <c r="F628" s="39">
        <v>0</v>
      </c>
      <c r="G628" s="34" t="e">
        <f t="shared" si="34"/>
        <v>#DIV/0!</v>
      </c>
      <c r="H628" s="156"/>
    </row>
    <row r="629" spans="1:8" s="69" customFormat="1" ht="65.25" customHeight="1" hidden="1">
      <c r="A629" s="30"/>
      <c r="B629" s="60"/>
      <c r="C629" s="31"/>
      <c r="D629" s="38" t="s">
        <v>1400</v>
      </c>
      <c r="E629" s="39"/>
      <c r="F629" s="39"/>
      <c r="G629" s="34"/>
      <c r="H629" s="156"/>
    </row>
    <row r="630" spans="1:8" s="69" customFormat="1" ht="57" customHeight="1" hidden="1">
      <c r="A630" s="30"/>
      <c r="B630" s="60"/>
      <c r="C630" s="31" t="s">
        <v>631</v>
      </c>
      <c r="D630" s="32" t="s">
        <v>929</v>
      </c>
      <c r="E630" s="39">
        <v>0</v>
      </c>
      <c r="F630" s="39">
        <v>0</v>
      </c>
      <c r="G630" s="34" t="e">
        <f t="shared" si="34"/>
        <v>#DIV/0!</v>
      </c>
      <c r="H630" s="156"/>
    </row>
    <row r="631" spans="1:8" s="69" customFormat="1" ht="30" customHeight="1" hidden="1">
      <c r="A631" s="30"/>
      <c r="B631" s="60"/>
      <c r="C631" s="31"/>
      <c r="D631" s="32" t="s">
        <v>930</v>
      </c>
      <c r="E631" s="39"/>
      <c r="F631" s="39"/>
      <c r="G631" s="40"/>
      <c r="H631" s="156"/>
    </row>
    <row r="632" spans="1:8" s="69" customFormat="1" ht="40.5" customHeight="1" hidden="1">
      <c r="A632" s="30"/>
      <c r="B632" s="60"/>
      <c r="C632" s="31" t="s">
        <v>102</v>
      </c>
      <c r="D632" s="32" t="s">
        <v>110</v>
      </c>
      <c r="E632" s="39">
        <v>0</v>
      </c>
      <c r="F632" s="39">
        <v>0</v>
      </c>
      <c r="G632" s="40" t="e">
        <f aca="true" t="shared" si="35" ref="G632:G644">F632/E632*100</f>
        <v>#DIV/0!</v>
      </c>
      <c r="H632" s="156"/>
    </row>
    <row r="633" spans="1:8" s="210" customFormat="1" ht="20.25" customHeight="1">
      <c r="A633" s="18" t="s">
        <v>270</v>
      </c>
      <c r="B633" s="213"/>
      <c r="C633" s="42"/>
      <c r="D633" s="43" t="s">
        <v>216</v>
      </c>
      <c r="E633" s="44">
        <f>SUM(E634)</f>
        <v>894023</v>
      </c>
      <c r="F633" s="44">
        <f>SUM(F634)</f>
        <v>1332884.62</v>
      </c>
      <c r="G633" s="22">
        <f t="shared" si="35"/>
        <v>149.08840376589865</v>
      </c>
      <c r="H633" s="209"/>
    </row>
    <row r="634" spans="1:8" s="211" customFormat="1" ht="21" customHeight="1">
      <c r="A634" s="30"/>
      <c r="B634" s="65" t="s">
        <v>217</v>
      </c>
      <c r="C634" s="65"/>
      <c r="D634" s="212" t="s">
        <v>218</v>
      </c>
      <c r="E634" s="53">
        <f>SUM(E635,E636,E637)</f>
        <v>894023</v>
      </c>
      <c r="F634" s="53">
        <f>SUM(F635,F636,F637)</f>
        <v>1332884.62</v>
      </c>
      <c r="G634" s="54">
        <f t="shared" si="35"/>
        <v>149.08840376589865</v>
      </c>
      <c r="H634" s="209"/>
    </row>
    <row r="635" spans="1:8" s="41" customFormat="1" ht="55.5" customHeight="1">
      <c r="A635" s="30"/>
      <c r="B635" s="36"/>
      <c r="C635" s="37">
        <v>2110</v>
      </c>
      <c r="D635" s="38" t="s">
        <v>703</v>
      </c>
      <c r="E635" s="39">
        <v>213900</v>
      </c>
      <c r="F635" s="39">
        <v>169598</v>
      </c>
      <c r="G635" s="40">
        <f t="shared" si="35"/>
        <v>79.28845254791959</v>
      </c>
      <c r="H635" s="155"/>
    </row>
    <row r="636" spans="1:8" s="41" customFormat="1" ht="59.25" customHeight="1">
      <c r="A636" s="30"/>
      <c r="B636" s="36"/>
      <c r="C636" s="37">
        <v>2360</v>
      </c>
      <c r="D636" s="38" t="s">
        <v>457</v>
      </c>
      <c r="E636" s="39">
        <v>680000</v>
      </c>
      <c r="F636" s="39">
        <v>1163163.62</v>
      </c>
      <c r="G636" s="40">
        <f>F636/E636*100</f>
        <v>171.05347352941178</v>
      </c>
      <c r="H636" s="155"/>
    </row>
    <row r="637" spans="1:8" s="35" customFormat="1" ht="55.5" customHeight="1">
      <c r="A637" s="62"/>
      <c r="B637" s="63"/>
      <c r="C637" s="37">
        <v>6410</v>
      </c>
      <c r="D637" s="38" t="s">
        <v>350</v>
      </c>
      <c r="E637" s="64">
        <v>123</v>
      </c>
      <c r="F637" s="64">
        <v>123</v>
      </c>
      <c r="G637" s="40">
        <f t="shared" si="35"/>
        <v>100</v>
      </c>
      <c r="H637" s="155"/>
    </row>
    <row r="638" spans="1:8" s="211" customFormat="1" ht="19.5" customHeight="1">
      <c r="A638" s="18" t="s">
        <v>219</v>
      </c>
      <c r="B638" s="42"/>
      <c r="C638" s="214"/>
      <c r="D638" s="43" t="s">
        <v>220</v>
      </c>
      <c r="E638" s="44">
        <f>SUM(E639,E642,E644,E655,E658)</f>
        <v>750000</v>
      </c>
      <c r="F638" s="44">
        <f>SUM(F639,F642,F644,F655,F658)</f>
        <v>346821.82</v>
      </c>
      <c r="G638" s="22">
        <f t="shared" si="35"/>
        <v>46.24290933333333</v>
      </c>
      <c r="H638" s="209"/>
    </row>
    <row r="639" spans="1:8" s="211" customFormat="1" ht="19.5" customHeight="1">
      <c r="A639" s="24"/>
      <c r="B639" s="46" t="s">
        <v>1310</v>
      </c>
      <c r="C639" s="46"/>
      <c r="D639" s="47" t="s">
        <v>1311</v>
      </c>
      <c r="E639" s="48">
        <f>SUM(E640,E641)</f>
        <v>367000</v>
      </c>
      <c r="F639" s="48">
        <f>SUM(F640,F641)</f>
        <v>139252.22</v>
      </c>
      <c r="G639" s="28">
        <f>F639/E639*100</f>
        <v>37.943384196185285</v>
      </c>
      <c r="H639" s="209"/>
    </row>
    <row r="640" spans="1:8" s="69" customFormat="1" ht="27.75" customHeight="1">
      <c r="A640" s="30"/>
      <c r="B640" s="31"/>
      <c r="C640" s="31" t="s">
        <v>678</v>
      </c>
      <c r="D640" s="32" t="s">
        <v>811</v>
      </c>
      <c r="E640" s="51">
        <v>260000</v>
      </c>
      <c r="F640" s="51">
        <v>124252.22</v>
      </c>
      <c r="G640" s="40">
        <f>F640/E640*100</f>
        <v>47.789315384615385</v>
      </c>
      <c r="H640" s="156"/>
    </row>
    <row r="641" spans="1:8" s="69" customFormat="1" ht="54.75" customHeight="1">
      <c r="A641" s="30"/>
      <c r="B641" s="31"/>
      <c r="C641" s="31" t="s">
        <v>294</v>
      </c>
      <c r="D641" s="32" t="s">
        <v>703</v>
      </c>
      <c r="E641" s="51">
        <v>107000</v>
      </c>
      <c r="F641" s="51">
        <v>15000</v>
      </c>
      <c r="G641" s="40">
        <f>F641/E641*100</f>
        <v>14.018691588785046</v>
      </c>
      <c r="H641" s="156"/>
    </row>
    <row r="642" spans="1:8" s="211" customFormat="1" ht="19.5" customHeight="1" hidden="1">
      <c r="A642" s="24"/>
      <c r="B642" s="46" t="s">
        <v>221</v>
      </c>
      <c r="C642" s="46"/>
      <c r="D642" s="47" t="s">
        <v>705</v>
      </c>
      <c r="E642" s="48">
        <f>E643</f>
        <v>0</v>
      </c>
      <c r="F642" s="48">
        <f>F643</f>
        <v>0</v>
      </c>
      <c r="G642" s="28" t="e">
        <f t="shared" si="35"/>
        <v>#DIV/0!</v>
      </c>
      <c r="H642" s="209"/>
    </row>
    <row r="643" spans="1:8" s="69" customFormat="1" ht="54.75" customHeight="1" hidden="1">
      <c r="A643" s="30"/>
      <c r="B643" s="31"/>
      <c r="C643" s="31" t="s">
        <v>294</v>
      </c>
      <c r="D643" s="32" t="s">
        <v>703</v>
      </c>
      <c r="E643" s="51">
        <v>0</v>
      </c>
      <c r="F643" s="51">
        <v>0</v>
      </c>
      <c r="G643" s="40" t="e">
        <f t="shared" si="35"/>
        <v>#DIV/0!</v>
      </c>
      <c r="H643" s="156"/>
    </row>
    <row r="644" spans="1:8" s="211" customFormat="1" ht="19.5" customHeight="1" hidden="1">
      <c r="A644" s="24"/>
      <c r="B644" s="46" t="s">
        <v>222</v>
      </c>
      <c r="C644" s="46"/>
      <c r="D644" s="26" t="s">
        <v>223</v>
      </c>
      <c r="E644" s="48">
        <f>SUM(E645,E646,E647,E648,E649,E650,E652,E653)</f>
        <v>0</v>
      </c>
      <c r="F644" s="48">
        <f>SUM(F645,F646,F647,F648,F649,F650,F652,F653)</f>
        <v>0</v>
      </c>
      <c r="G644" s="28" t="e">
        <f t="shared" si="35"/>
        <v>#DIV/0!</v>
      </c>
      <c r="H644" s="209"/>
    </row>
    <row r="645" spans="1:8" s="69" customFormat="1" ht="28.5" customHeight="1" hidden="1">
      <c r="A645" s="30"/>
      <c r="B645" s="31"/>
      <c r="C645" s="31" t="s">
        <v>681</v>
      </c>
      <c r="D645" s="32" t="s">
        <v>357</v>
      </c>
      <c r="E645" s="51">
        <v>0</v>
      </c>
      <c r="F645" s="51"/>
      <c r="G645" s="40" t="e">
        <f aca="true" t="shared" si="36" ref="G645:G653">F645/E645*100</f>
        <v>#DIV/0!</v>
      </c>
      <c r="H645" s="156"/>
    </row>
    <row r="646" spans="1:8" s="69" customFormat="1" ht="25.5" customHeight="1" hidden="1">
      <c r="A646" s="30"/>
      <c r="B646" s="31"/>
      <c r="C646" s="31" t="s">
        <v>678</v>
      </c>
      <c r="D646" s="32" t="s">
        <v>811</v>
      </c>
      <c r="E646" s="51">
        <v>0</v>
      </c>
      <c r="F646" s="51">
        <v>0</v>
      </c>
      <c r="G646" s="40" t="e">
        <f t="shared" si="36"/>
        <v>#DIV/0!</v>
      </c>
      <c r="H646" s="156"/>
    </row>
    <row r="647" spans="1:8" s="69" customFormat="1" ht="18.75" customHeight="1" hidden="1">
      <c r="A647" s="30"/>
      <c r="B647" s="31"/>
      <c r="C647" s="63" t="s">
        <v>679</v>
      </c>
      <c r="D647" s="79" t="s">
        <v>809</v>
      </c>
      <c r="E647" s="51">
        <v>0</v>
      </c>
      <c r="F647" s="51">
        <v>0</v>
      </c>
      <c r="G647" s="34" t="e">
        <f t="shared" si="36"/>
        <v>#DIV/0!</v>
      </c>
      <c r="H647" s="156"/>
    </row>
    <row r="648" spans="1:8" s="69" customFormat="1" ht="28.5" customHeight="1" hidden="1">
      <c r="A648" s="30"/>
      <c r="B648" s="31"/>
      <c r="C648" s="31" t="s">
        <v>680</v>
      </c>
      <c r="D648" s="32" t="s">
        <v>770</v>
      </c>
      <c r="E648" s="51">
        <v>0</v>
      </c>
      <c r="F648" s="51">
        <v>0</v>
      </c>
      <c r="G648" s="34" t="e">
        <f t="shared" si="36"/>
        <v>#DIV/0!</v>
      </c>
      <c r="H648" s="156"/>
    </row>
    <row r="649" spans="1:8" s="69" customFormat="1" ht="60.75" customHeight="1" hidden="1">
      <c r="A649" s="30"/>
      <c r="B649" s="31"/>
      <c r="C649" s="31" t="s">
        <v>294</v>
      </c>
      <c r="D649" s="32" t="s">
        <v>703</v>
      </c>
      <c r="E649" s="51">
        <v>0</v>
      </c>
      <c r="F649" s="51">
        <v>0</v>
      </c>
      <c r="G649" s="34" t="e">
        <f t="shared" si="36"/>
        <v>#DIV/0!</v>
      </c>
      <c r="H649" s="156"/>
    </row>
    <row r="650" spans="1:8" s="69" customFormat="1" ht="66" customHeight="1" hidden="1">
      <c r="A650" s="30"/>
      <c r="B650" s="31"/>
      <c r="C650" s="31" t="s">
        <v>296</v>
      </c>
      <c r="D650" s="68" t="s">
        <v>298</v>
      </c>
      <c r="E650" s="51">
        <v>0</v>
      </c>
      <c r="F650" s="51">
        <v>0</v>
      </c>
      <c r="G650" s="34" t="e">
        <f t="shared" si="36"/>
        <v>#DIV/0!</v>
      </c>
      <c r="H650" s="156"/>
    </row>
    <row r="651" spans="1:8" s="69" customFormat="1" ht="28.5" customHeight="1" hidden="1">
      <c r="A651" s="30"/>
      <c r="B651" s="31"/>
      <c r="C651" s="31"/>
      <c r="D651" s="38" t="s">
        <v>108</v>
      </c>
      <c r="E651" s="51"/>
      <c r="F651" s="51"/>
      <c r="G651" s="34"/>
      <c r="H651" s="156"/>
    </row>
    <row r="652" spans="1:8" s="69" customFormat="1" ht="67.5" customHeight="1" hidden="1">
      <c r="A652" s="30"/>
      <c r="B652" s="31"/>
      <c r="C652" s="31" t="s">
        <v>385</v>
      </c>
      <c r="D652" s="32" t="s">
        <v>655</v>
      </c>
      <c r="E652" s="51">
        <v>0</v>
      </c>
      <c r="F652" s="51">
        <v>0</v>
      </c>
      <c r="G652" s="34" t="e">
        <f t="shared" si="36"/>
        <v>#DIV/0!</v>
      </c>
      <c r="H652" s="156"/>
    </row>
    <row r="653" spans="1:8" s="69" customFormat="1" ht="51" customHeight="1" hidden="1">
      <c r="A653" s="30"/>
      <c r="B653" s="60"/>
      <c r="C653" s="31" t="s">
        <v>346</v>
      </c>
      <c r="D653" s="32" t="s">
        <v>551</v>
      </c>
      <c r="E653" s="39">
        <v>0</v>
      </c>
      <c r="F653" s="39">
        <v>0</v>
      </c>
      <c r="G653" s="34" t="e">
        <f t="shared" si="36"/>
        <v>#DIV/0!</v>
      </c>
      <c r="H653" s="156"/>
    </row>
    <row r="654" spans="1:8" s="69" customFormat="1" ht="67.5" customHeight="1" hidden="1">
      <c r="A654" s="30"/>
      <c r="B654" s="60"/>
      <c r="C654" s="31"/>
      <c r="D654" s="38" t="s">
        <v>1272</v>
      </c>
      <c r="E654" s="39"/>
      <c r="F654" s="39"/>
      <c r="G654" s="34"/>
      <c r="H654" s="156"/>
    </row>
    <row r="655" spans="1:8" s="211" customFormat="1" ht="19.5" customHeight="1">
      <c r="A655" s="24"/>
      <c r="B655" s="46" t="s">
        <v>224</v>
      </c>
      <c r="C655" s="46"/>
      <c r="D655" s="47" t="s">
        <v>214</v>
      </c>
      <c r="E655" s="48">
        <f>SUM(E656,E657)</f>
        <v>383000</v>
      </c>
      <c r="F655" s="48">
        <f>SUM(F656,F657)</f>
        <v>207569.6</v>
      </c>
      <c r="G655" s="28">
        <f>F655/E655*100</f>
        <v>54.1957180156658</v>
      </c>
      <c r="H655" s="209"/>
    </row>
    <row r="656" spans="1:8" s="69" customFormat="1" ht="60" customHeight="1">
      <c r="A656" s="30"/>
      <c r="B656" s="31"/>
      <c r="C656" s="31" t="s">
        <v>294</v>
      </c>
      <c r="D656" s="32" t="s">
        <v>703</v>
      </c>
      <c r="E656" s="51">
        <v>383000</v>
      </c>
      <c r="F656" s="51">
        <v>207569.6</v>
      </c>
      <c r="G656" s="40">
        <f aca="true" t="shared" si="37" ref="G656:G663">F656/E656*100</f>
        <v>54.1957180156658</v>
      </c>
      <c r="H656" s="156"/>
    </row>
    <row r="657" spans="1:8" s="69" customFormat="1" ht="54" customHeight="1" hidden="1">
      <c r="A657" s="30"/>
      <c r="B657" s="31"/>
      <c r="C657" s="31" t="s">
        <v>657</v>
      </c>
      <c r="D657" s="32" t="s">
        <v>350</v>
      </c>
      <c r="E657" s="51">
        <v>0</v>
      </c>
      <c r="F657" s="51">
        <v>0</v>
      </c>
      <c r="G657" s="40" t="e">
        <f>F657/E657*100</f>
        <v>#DIV/0!</v>
      </c>
      <c r="H657" s="156"/>
    </row>
    <row r="658" spans="1:8" s="211" customFormat="1" ht="19.5" customHeight="1" hidden="1">
      <c r="A658" s="24"/>
      <c r="B658" s="46" t="s">
        <v>656</v>
      </c>
      <c r="C658" s="46"/>
      <c r="D658" s="47" t="s">
        <v>176</v>
      </c>
      <c r="E658" s="48">
        <f>SUM(E659)</f>
        <v>0</v>
      </c>
      <c r="F658" s="48">
        <f>SUM(F659)</f>
        <v>0</v>
      </c>
      <c r="G658" s="28" t="e">
        <f t="shared" si="37"/>
        <v>#DIV/0!</v>
      </c>
      <c r="H658" s="209"/>
    </row>
    <row r="659" spans="1:8" s="69" customFormat="1" ht="54" customHeight="1" hidden="1">
      <c r="A659" s="30"/>
      <c r="B659" s="31"/>
      <c r="C659" s="31" t="s">
        <v>657</v>
      </c>
      <c r="D659" s="32" t="s">
        <v>350</v>
      </c>
      <c r="E659" s="51">
        <v>0</v>
      </c>
      <c r="F659" s="51">
        <v>0</v>
      </c>
      <c r="G659" s="40" t="e">
        <f t="shared" si="37"/>
        <v>#DIV/0!</v>
      </c>
      <c r="H659" s="156"/>
    </row>
    <row r="660" spans="1:8" s="210" customFormat="1" ht="19.5" customHeight="1">
      <c r="A660" s="18" t="s">
        <v>644</v>
      </c>
      <c r="B660" s="42"/>
      <c r="C660" s="42"/>
      <c r="D660" s="43" t="s">
        <v>645</v>
      </c>
      <c r="E660" s="44">
        <f>SUM(E661,E663,E669)</f>
        <v>62300</v>
      </c>
      <c r="F660" s="44">
        <f>SUM(F661,F663,F669)</f>
        <v>42863.85</v>
      </c>
      <c r="G660" s="22">
        <f t="shared" si="37"/>
        <v>68.80232744783306</v>
      </c>
      <c r="H660" s="209"/>
    </row>
    <row r="661" spans="1:8" s="211" customFormat="1" ht="19.5" customHeight="1">
      <c r="A661" s="24"/>
      <c r="B661" s="46" t="s">
        <v>646</v>
      </c>
      <c r="C661" s="46"/>
      <c r="D661" s="47" t="s">
        <v>652</v>
      </c>
      <c r="E661" s="48">
        <f>SUM(E662)</f>
        <v>40300</v>
      </c>
      <c r="F661" s="48">
        <f>SUM(F662)</f>
        <v>21700</v>
      </c>
      <c r="G661" s="28">
        <f t="shared" si="37"/>
        <v>53.84615384615385</v>
      </c>
      <c r="H661" s="209"/>
    </row>
    <row r="662" spans="1:8" s="69" customFormat="1" ht="59.25" customHeight="1">
      <c r="A662" s="30"/>
      <c r="B662" s="31"/>
      <c r="C662" s="31" t="s">
        <v>294</v>
      </c>
      <c r="D662" s="32" t="s">
        <v>703</v>
      </c>
      <c r="E662" s="51">
        <v>40300</v>
      </c>
      <c r="F662" s="51">
        <v>21700</v>
      </c>
      <c r="G662" s="40">
        <f t="shared" si="37"/>
        <v>53.84615384615385</v>
      </c>
      <c r="H662" s="156"/>
    </row>
    <row r="663" spans="1:8" s="211" customFormat="1" ht="19.5" customHeight="1" hidden="1">
      <c r="A663" s="24"/>
      <c r="B663" s="46" t="s">
        <v>653</v>
      </c>
      <c r="C663" s="46"/>
      <c r="D663" s="47" t="s">
        <v>0</v>
      </c>
      <c r="E663" s="48">
        <f>SUM(E664,E665,E666,E667,E668)</f>
        <v>0</v>
      </c>
      <c r="F663" s="48">
        <f>SUM(F664,F665,F666,F667,F668)</f>
        <v>0</v>
      </c>
      <c r="G663" s="28" t="e">
        <f t="shared" si="37"/>
        <v>#DIV/0!</v>
      </c>
      <c r="H663" s="209"/>
    </row>
    <row r="664" spans="1:8" s="211" customFormat="1" ht="19.5" customHeight="1" hidden="1">
      <c r="A664" s="30"/>
      <c r="B664" s="31"/>
      <c r="C664" s="31" t="s">
        <v>682</v>
      </c>
      <c r="D664" s="32" t="s">
        <v>767</v>
      </c>
      <c r="E664" s="51">
        <v>0</v>
      </c>
      <c r="F664" s="51">
        <v>0</v>
      </c>
      <c r="G664" s="40" t="e">
        <f aca="true" t="shared" si="38" ref="G664:G687">F664/E664*100</f>
        <v>#DIV/0!</v>
      </c>
      <c r="H664" s="209"/>
    </row>
    <row r="665" spans="1:8" s="211" customFormat="1" ht="69" customHeight="1" hidden="1">
      <c r="A665" s="30"/>
      <c r="B665" s="31"/>
      <c r="C665" s="31" t="s">
        <v>683</v>
      </c>
      <c r="D665" s="32" t="s">
        <v>459</v>
      </c>
      <c r="E665" s="51">
        <v>0</v>
      </c>
      <c r="F665" s="51">
        <v>0</v>
      </c>
      <c r="G665" s="40" t="e">
        <f t="shared" si="38"/>
        <v>#DIV/0!</v>
      </c>
      <c r="H665" s="209"/>
    </row>
    <row r="666" spans="1:8" s="211" customFormat="1" ht="20.25" customHeight="1" hidden="1">
      <c r="A666" s="30"/>
      <c r="B666" s="31"/>
      <c r="C666" s="31" t="s">
        <v>679</v>
      </c>
      <c r="D666" s="50" t="s">
        <v>809</v>
      </c>
      <c r="E666" s="51">
        <v>0</v>
      </c>
      <c r="F666" s="51">
        <v>0</v>
      </c>
      <c r="G666" s="40" t="e">
        <f t="shared" si="38"/>
        <v>#DIV/0!</v>
      </c>
      <c r="H666" s="156"/>
    </row>
    <row r="667" spans="1:8" s="211" customFormat="1" ht="20.25" customHeight="1" hidden="1">
      <c r="A667" s="30"/>
      <c r="B667" s="31"/>
      <c r="C667" s="31" t="s">
        <v>680</v>
      </c>
      <c r="D667" s="32" t="s">
        <v>770</v>
      </c>
      <c r="E667" s="51">
        <v>0</v>
      </c>
      <c r="F667" s="51">
        <v>0</v>
      </c>
      <c r="G667" s="40" t="e">
        <f t="shared" si="38"/>
        <v>#DIV/0!</v>
      </c>
      <c r="H667" s="156"/>
    </row>
    <row r="668" spans="1:8" s="211" customFormat="1" ht="54" customHeight="1" hidden="1">
      <c r="A668" s="30"/>
      <c r="B668" s="31"/>
      <c r="C668" s="31" t="s">
        <v>437</v>
      </c>
      <c r="D668" s="32" t="s">
        <v>457</v>
      </c>
      <c r="E668" s="51">
        <v>0</v>
      </c>
      <c r="F668" s="51">
        <v>0</v>
      </c>
      <c r="G668" s="40" t="e">
        <f t="shared" si="38"/>
        <v>#DIV/0!</v>
      </c>
      <c r="H668" s="209"/>
    </row>
    <row r="669" spans="1:8" s="211" customFormat="1" ht="19.5" customHeight="1">
      <c r="A669" s="24"/>
      <c r="B669" s="46" t="s">
        <v>2</v>
      </c>
      <c r="C669" s="214"/>
      <c r="D669" s="47" t="s">
        <v>1135</v>
      </c>
      <c r="E669" s="48">
        <f>E670+E671</f>
        <v>22000</v>
      </c>
      <c r="F669" s="48">
        <f>F670+F671</f>
        <v>21163.85</v>
      </c>
      <c r="G669" s="28">
        <f t="shared" si="38"/>
        <v>96.19931818181817</v>
      </c>
      <c r="H669" s="209"/>
    </row>
    <row r="670" spans="1:8" s="69" customFormat="1" ht="56.25" customHeight="1">
      <c r="A670" s="30"/>
      <c r="B670" s="31"/>
      <c r="C670" s="215">
        <v>2110</v>
      </c>
      <c r="D670" s="32" t="s">
        <v>703</v>
      </c>
      <c r="E670" s="51">
        <v>19000</v>
      </c>
      <c r="F670" s="51">
        <v>19000</v>
      </c>
      <c r="G670" s="40">
        <f t="shared" si="38"/>
        <v>100</v>
      </c>
      <c r="H670" s="156"/>
    </row>
    <row r="671" spans="1:8" s="69" customFormat="1" ht="53.25" customHeight="1">
      <c r="A671" s="30"/>
      <c r="B671" s="31"/>
      <c r="C671" s="215">
        <v>2120</v>
      </c>
      <c r="D671" s="32" t="s">
        <v>776</v>
      </c>
      <c r="E671" s="51">
        <v>3000</v>
      </c>
      <c r="F671" s="51">
        <v>2163.85</v>
      </c>
      <c r="G671" s="40">
        <f t="shared" si="38"/>
        <v>72.12833333333333</v>
      </c>
      <c r="H671" s="156"/>
    </row>
    <row r="672" spans="1:8" s="211" customFormat="1" ht="29.25" customHeight="1">
      <c r="A672" s="18" t="s">
        <v>5</v>
      </c>
      <c r="B672" s="42"/>
      <c r="C672" s="214"/>
      <c r="D672" s="52" t="s">
        <v>84</v>
      </c>
      <c r="E672" s="44">
        <f>SUM(E673,E678,E680)</f>
        <v>5801411</v>
      </c>
      <c r="F672" s="44">
        <f>SUM(F673,F678,F680)</f>
        <v>3617871.16</v>
      </c>
      <c r="G672" s="22">
        <f t="shared" si="38"/>
        <v>62.36191781620023</v>
      </c>
      <c r="H672" s="209"/>
    </row>
    <row r="673" spans="1:8" s="211" customFormat="1" ht="19.5" customHeight="1">
      <c r="A673" s="24"/>
      <c r="B673" s="46" t="s">
        <v>6</v>
      </c>
      <c r="C673" s="214"/>
      <c r="D673" s="26" t="s">
        <v>317</v>
      </c>
      <c r="E673" s="48">
        <f>SUM(E674,E675,E676,E677)</f>
        <v>5626411</v>
      </c>
      <c r="F673" s="48">
        <f>SUM(F674,F675,F676,F677)</f>
        <v>3442855.75</v>
      </c>
      <c r="G673" s="28">
        <f t="shared" si="38"/>
        <v>61.19097502830846</v>
      </c>
      <c r="H673" s="209"/>
    </row>
    <row r="674" spans="1:8" s="35" customFormat="1" ht="30.75" customHeight="1" hidden="1">
      <c r="A674" s="62"/>
      <c r="B674" s="63"/>
      <c r="C674" s="63" t="s">
        <v>300</v>
      </c>
      <c r="D674" s="38" t="s">
        <v>1396</v>
      </c>
      <c r="E674" s="64">
        <v>0</v>
      </c>
      <c r="F674" s="64">
        <v>0</v>
      </c>
      <c r="G674" s="40" t="e">
        <f t="shared" si="38"/>
        <v>#DIV/0!</v>
      </c>
      <c r="H674" s="155"/>
    </row>
    <row r="675" spans="1:8" s="69" customFormat="1" ht="53.25" customHeight="1">
      <c r="A675" s="30"/>
      <c r="B675" s="36"/>
      <c r="C675" s="216">
        <v>2110</v>
      </c>
      <c r="D675" s="32" t="s">
        <v>703</v>
      </c>
      <c r="E675" s="67">
        <v>5625211</v>
      </c>
      <c r="F675" s="67">
        <v>3441969</v>
      </c>
      <c r="G675" s="40">
        <f t="shared" si="38"/>
        <v>61.18826476020188</v>
      </c>
      <c r="H675" s="156"/>
    </row>
    <row r="676" spans="1:8" s="41" customFormat="1" ht="59.25" customHeight="1">
      <c r="A676" s="30"/>
      <c r="B676" s="36"/>
      <c r="C676" s="37">
        <v>2360</v>
      </c>
      <c r="D676" s="38" t="s">
        <v>457</v>
      </c>
      <c r="E676" s="39">
        <v>1200</v>
      </c>
      <c r="F676" s="39">
        <v>886.75</v>
      </c>
      <c r="G676" s="40">
        <f t="shared" si="38"/>
        <v>73.89583333333334</v>
      </c>
      <c r="H676" s="155"/>
    </row>
    <row r="677" spans="1:8" s="69" customFormat="1" ht="54.75" customHeight="1" hidden="1">
      <c r="A677" s="30"/>
      <c r="B677" s="36"/>
      <c r="C677" s="216">
        <v>6410</v>
      </c>
      <c r="D677" s="32" t="s">
        <v>350</v>
      </c>
      <c r="E677" s="67">
        <v>0</v>
      </c>
      <c r="F677" s="67">
        <v>0</v>
      </c>
      <c r="G677" s="40" t="e">
        <f t="shared" si="38"/>
        <v>#DIV/0!</v>
      </c>
      <c r="H677" s="156"/>
    </row>
    <row r="678" spans="1:8" s="211" customFormat="1" ht="22.5" customHeight="1" hidden="1">
      <c r="A678" s="24"/>
      <c r="B678" s="25" t="s">
        <v>1114</v>
      </c>
      <c r="C678" s="217"/>
      <c r="D678" s="26" t="s">
        <v>1115</v>
      </c>
      <c r="E678" s="218">
        <f>SUM(E679)</f>
        <v>0</v>
      </c>
      <c r="F678" s="218">
        <f>SUM(F679)</f>
        <v>0</v>
      </c>
      <c r="G678" s="28" t="e">
        <f t="shared" si="38"/>
        <v>#DIV/0!</v>
      </c>
      <c r="H678" s="209"/>
    </row>
    <row r="679" spans="1:8" s="69" customFormat="1" ht="56.25" customHeight="1" hidden="1">
      <c r="A679" s="30"/>
      <c r="B679" s="36"/>
      <c r="C679" s="216">
        <v>2110</v>
      </c>
      <c r="D679" s="32" t="s">
        <v>703</v>
      </c>
      <c r="E679" s="67">
        <v>0</v>
      </c>
      <c r="F679" s="67">
        <v>0</v>
      </c>
      <c r="G679" s="40" t="e">
        <f aca="true" t="shared" si="39" ref="G679:G685">F679/E679*100</f>
        <v>#DIV/0!</v>
      </c>
      <c r="H679" s="156"/>
    </row>
    <row r="680" spans="1:8" s="211" customFormat="1" ht="19.5" customHeight="1">
      <c r="A680" s="24"/>
      <c r="B680" s="25" t="s">
        <v>1112</v>
      </c>
      <c r="C680" s="217"/>
      <c r="D680" s="26" t="s">
        <v>176</v>
      </c>
      <c r="E680" s="218">
        <f>SUM(E681,E682)</f>
        <v>175000</v>
      </c>
      <c r="F680" s="218">
        <f>SUM(F681,F682)</f>
        <v>175015.41</v>
      </c>
      <c r="G680" s="28">
        <f t="shared" si="39"/>
        <v>100.00880571428571</v>
      </c>
      <c r="H680" s="209"/>
    </row>
    <row r="681" spans="1:8" s="69" customFormat="1" ht="40.5" customHeight="1">
      <c r="A681" s="30"/>
      <c r="B681" s="36"/>
      <c r="C681" s="216">
        <v>2440</v>
      </c>
      <c r="D681" s="32" t="s">
        <v>708</v>
      </c>
      <c r="E681" s="67">
        <v>72660</v>
      </c>
      <c r="F681" s="67">
        <v>72675.41</v>
      </c>
      <c r="G681" s="40">
        <f t="shared" si="39"/>
        <v>100.02120836774016</v>
      </c>
      <c r="H681" s="156"/>
    </row>
    <row r="682" spans="1:8" s="69" customFormat="1" ht="69" customHeight="1">
      <c r="A682" s="30"/>
      <c r="B682" s="36"/>
      <c r="C682" s="216">
        <v>6260</v>
      </c>
      <c r="D682" s="38" t="s">
        <v>655</v>
      </c>
      <c r="E682" s="67">
        <v>102340</v>
      </c>
      <c r="F682" s="67">
        <v>102340</v>
      </c>
      <c r="G682" s="40">
        <f t="shared" si="39"/>
        <v>100</v>
      </c>
      <c r="H682" s="156"/>
    </row>
    <row r="683" spans="1:8" s="210" customFormat="1" ht="22.5" customHeight="1">
      <c r="A683" s="18" t="s">
        <v>1320</v>
      </c>
      <c r="B683" s="19"/>
      <c r="C683" s="219"/>
      <c r="D683" s="52" t="s">
        <v>1322</v>
      </c>
      <c r="E683" s="220">
        <f>SUM(E684)</f>
        <v>125208</v>
      </c>
      <c r="F683" s="220">
        <f>SUM(F684)</f>
        <v>62604</v>
      </c>
      <c r="G683" s="22">
        <f t="shared" si="39"/>
        <v>50</v>
      </c>
      <c r="H683" s="209"/>
    </row>
    <row r="684" spans="1:8" s="211" customFormat="1" ht="21" customHeight="1">
      <c r="A684" s="24"/>
      <c r="B684" s="25" t="s">
        <v>1321</v>
      </c>
      <c r="C684" s="217"/>
      <c r="D684" s="26" t="s">
        <v>1371</v>
      </c>
      <c r="E684" s="218">
        <f>SUM(E685)</f>
        <v>125208</v>
      </c>
      <c r="F684" s="218">
        <f>SUM(F685)</f>
        <v>62604</v>
      </c>
      <c r="G684" s="28">
        <f t="shared" si="39"/>
        <v>50</v>
      </c>
      <c r="H684" s="209"/>
    </row>
    <row r="685" spans="1:8" s="69" customFormat="1" ht="55.5" customHeight="1">
      <c r="A685" s="30"/>
      <c r="B685" s="36"/>
      <c r="C685" s="216">
        <v>2110</v>
      </c>
      <c r="D685" s="32" t="s">
        <v>703</v>
      </c>
      <c r="E685" s="67">
        <v>125208</v>
      </c>
      <c r="F685" s="67">
        <v>62604</v>
      </c>
      <c r="G685" s="40">
        <f t="shared" si="39"/>
        <v>50</v>
      </c>
      <c r="H685" s="156"/>
    </row>
    <row r="686" spans="1:8" s="210" customFormat="1" ht="69" customHeight="1">
      <c r="A686" s="221" t="s">
        <v>242</v>
      </c>
      <c r="B686" s="42"/>
      <c r="C686" s="42"/>
      <c r="D686" s="52" t="s">
        <v>370</v>
      </c>
      <c r="E686" s="44">
        <f>SUM(E687,E695)</f>
        <v>11703428</v>
      </c>
      <c r="F686" s="44">
        <f>SUM(F687,F695)</f>
        <v>5748085.45</v>
      </c>
      <c r="G686" s="22">
        <f t="shared" si="38"/>
        <v>49.11454532808678</v>
      </c>
      <c r="H686" s="209"/>
    </row>
    <row r="687" spans="1:8" s="211" customFormat="1" ht="41.25" customHeight="1">
      <c r="A687" s="24"/>
      <c r="B687" s="46" t="s">
        <v>783</v>
      </c>
      <c r="C687" s="46"/>
      <c r="D687" s="26" t="s">
        <v>322</v>
      </c>
      <c r="E687" s="48">
        <f>SUM(E688,E689,E690,E691,E692,E693,E694)</f>
        <v>1430000</v>
      </c>
      <c r="F687" s="48">
        <f>SUM(F688,F689,F690,F691,F692,F693,F694)</f>
        <v>1216979.62</v>
      </c>
      <c r="G687" s="28">
        <f t="shared" si="38"/>
        <v>85.10346993006993</v>
      </c>
      <c r="H687" s="209"/>
    </row>
    <row r="688" spans="1:8" s="69" customFormat="1" ht="19.5" customHeight="1">
      <c r="A688" s="30"/>
      <c r="B688" s="31"/>
      <c r="C688" s="31" t="s">
        <v>424</v>
      </c>
      <c r="D688" s="50" t="s">
        <v>775</v>
      </c>
      <c r="E688" s="51">
        <v>580000</v>
      </c>
      <c r="F688" s="51">
        <v>351056</v>
      </c>
      <c r="G688" s="40">
        <f aca="true" t="shared" si="40" ref="G688:G694">F688/E688*100</f>
        <v>60.52689655172414</v>
      </c>
      <c r="H688" s="156"/>
    </row>
    <row r="689" spans="1:8" s="69" customFormat="1" ht="40.5" customHeight="1">
      <c r="A689" s="30"/>
      <c r="B689" s="31"/>
      <c r="C689" s="31" t="s">
        <v>688</v>
      </c>
      <c r="D689" s="32" t="s">
        <v>945</v>
      </c>
      <c r="E689" s="51">
        <v>780000</v>
      </c>
      <c r="F689" s="51">
        <v>816572.43</v>
      </c>
      <c r="G689" s="40">
        <f t="shared" si="40"/>
        <v>104.68877307692308</v>
      </c>
      <c r="H689" s="156"/>
    </row>
    <row r="690" spans="1:8" s="69" customFormat="1" ht="18.75" customHeight="1">
      <c r="A690" s="30"/>
      <c r="B690" s="31"/>
      <c r="C690" s="31" t="s">
        <v>427</v>
      </c>
      <c r="D690" s="32" t="s">
        <v>316</v>
      </c>
      <c r="E690" s="51">
        <v>5000</v>
      </c>
      <c r="F690" s="51">
        <v>1562.5</v>
      </c>
      <c r="G690" s="40">
        <f t="shared" si="40"/>
        <v>31.25</v>
      </c>
      <c r="H690" s="156"/>
    </row>
    <row r="691" spans="1:8" s="69" customFormat="1" ht="31.5" customHeight="1">
      <c r="A691" s="30"/>
      <c r="B691" s="31"/>
      <c r="C691" s="31" t="s">
        <v>1417</v>
      </c>
      <c r="D691" s="32" t="s">
        <v>1420</v>
      </c>
      <c r="E691" s="51">
        <v>0</v>
      </c>
      <c r="F691" s="51">
        <v>498.8</v>
      </c>
      <c r="G691" s="40" t="e">
        <f>F691/E691*100</f>
        <v>#DIV/0!</v>
      </c>
      <c r="H691" s="156"/>
    </row>
    <row r="692" spans="1:8" s="69" customFormat="1" ht="18.75" customHeight="1">
      <c r="A692" s="30"/>
      <c r="B692" s="31"/>
      <c r="C692" s="31" t="s">
        <v>1323</v>
      </c>
      <c r="D692" s="32" t="s">
        <v>1329</v>
      </c>
      <c r="E692" s="51">
        <v>65000</v>
      </c>
      <c r="F692" s="51">
        <v>45157</v>
      </c>
      <c r="G692" s="40">
        <f t="shared" si="40"/>
        <v>69.4723076923077</v>
      </c>
      <c r="H692" s="156"/>
    </row>
    <row r="693" spans="1:8" s="69" customFormat="1" ht="19.5" customHeight="1" hidden="1">
      <c r="A693" s="30"/>
      <c r="B693" s="31"/>
      <c r="C693" s="31" t="s">
        <v>682</v>
      </c>
      <c r="D693" s="32" t="s">
        <v>767</v>
      </c>
      <c r="E693" s="51">
        <v>0</v>
      </c>
      <c r="F693" s="51">
        <v>0</v>
      </c>
      <c r="G693" s="40" t="e">
        <f t="shared" si="40"/>
        <v>#DIV/0!</v>
      </c>
      <c r="H693" s="156"/>
    </row>
    <row r="694" spans="1:8" s="69" customFormat="1" ht="19.5" customHeight="1">
      <c r="A694" s="30"/>
      <c r="B694" s="31"/>
      <c r="C694" s="31" t="s">
        <v>679</v>
      </c>
      <c r="D694" s="32" t="s">
        <v>1377</v>
      </c>
      <c r="E694" s="51">
        <v>0</v>
      </c>
      <c r="F694" s="51">
        <v>2132.89</v>
      </c>
      <c r="G694" s="40" t="e">
        <f t="shared" si="40"/>
        <v>#DIV/0!</v>
      </c>
      <c r="H694" s="156"/>
    </row>
    <row r="695" spans="1:8" s="211" customFormat="1" ht="30.75" customHeight="1">
      <c r="A695" s="24"/>
      <c r="B695" s="46" t="s">
        <v>801</v>
      </c>
      <c r="C695" s="46"/>
      <c r="D695" s="26" t="s">
        <v>292</v>
      </c>
      <c r="E695" s="48">
        <f>+E696+E697</f>
        <v>10273428</v>
      </c>
      <c r="F695" s="48">
        <f>F696+F697</f>
        <v>4531105.83</v>
      </c>
      <c r="G695" s="28">
        <f aca="true" t="shared" si="41" ref="G695:G714">F695/E695*100</f>
        <v>44.10510133521158</v>
      </c>
      <c r="H695" s="209"/>
    </row>
    <row r="696" spans="1:8" s="69" customFormat="1" ht="28.5" customHeight="1">
      <c r="A696" s="30"/>
      <c r="B696" s="31"/>
      <c r="C696" s="31" t="s">
        <v>428</v>
      </c>
      <c r="D696" s="32" t="s">
        <v>780</v>
      </c>
      <c r="E696" s="51">
        <v>9943428</v>
      </c>
      <c r="F696" s="51">
        <v>4537732</v>
      </c>
      <c r="G696" s="40">
        <f t="shared" si="41"/>
        <v>45.63548908887358</v>
      </c>
      <c r="H696" s="156"/>
    </row>
    <row r="697" spans="1:8" s="69" customFormat="1" ht="19.5" customHeight="1">
      <c r="A697" s="30"/>
      <c r="B697" s="31"/>
      <c r="C697" s="31" t="s">
        <v>429</v>
      </c>
      <c r="D697" s="50" t="s">
        <v>1390</v>
      </c>
      <c r="E697" s="51">
        <v>330000</v>
      </c>
      <c r="F697" s="51">
        <v>-6626.17</v>
      </c>
      <c r="G697" s="40">
        <f t="shared" si="41"/>
        <v>-2.007930303030303</v>
      </c>
      <c r="H697" s="156"/>
    </row>
    <row r="698" spans="1:8" s="210" customFormat="1" ht="19.5" customHeight="1">
      <c r="A698" s="18" t="s">
        <v>10</v>
      </c>
      <c r="B698" s="42"/>
      <c r="C698" s="42"/>
      <c r="D698" s="43" t="s">
        <v>11</v>
      </c>
      <c r="E698" s="44">
        <f>SUM(E706,E699,E701,E704,E712)</f>
        <v>47863464</v>
      </c>
      <c r="F698" s="44">
        <f>SUM(F706,F699,F701,F704,F712)</f>
        <v>22238364.31</v>
      </c>
      <c r="G698" s="22">
        <f t="shared" si="41"/>
        <v>46.46208705245404</v>
      </c>
      <c r="H698" s="209"/>
    </row>
    <row r="699" spans="1:8" s="211" customFormat="1" ht="27.75" customHeight="1">
      <c r="A699" s="24"/>
      <c r="B699" s="46" t="s">
        <v>802</v>
      </c>
      <c r="C699" s="46"/>
      <c r="D699" s="26" t="s">
        <v>804</v>
      </c>
      <c r="E699" s="48">
        <f>E700</f>
        <v>13537218</v>
      </c>
      <c r="F699" s="48">
        <f>F700</f>
        <v>8330592</v>
      </c>
      <c r="G699" s="28">
        <f t="shared" si="41"/>
        <v>61.53843426322897</v>
      </c>
      <c r="H699" s="209"/>
    </row>
    <row r="700" spans="1:8" s="210" customFormat="1" ht="19.5" customHeight="1">
      <c r="A700" s="18"/>
      <c r="B700" s="42"/>
      <c r="C700" s="31" t="s">
        <v>430</v>
      </c>
      <c r="D700" s="32" t="s">
        <v>318</v>
      </c>
      <c r="E700" s="51">
        <v>13537218</v>
      </c>
      <c r="F700" s="51">
        <v>8330592</v>
      </c>
      <c r="G700" s="40">
        <f t="shared" si="41"/>
        <v>61.53843426322897</v>
      </c>
      <c r="H700" s="209"/>
    </row>
    <row r="701" spans="1:8" s="211" customFormat="1" ht="30" customHeight="1">
      <c r="A701" s="24"/>
      <c r="B701" s="46" t="s">
        <v>806</v>
      </c>
      <c r="C701" s="46"/>
      <c r="D701" s="26" t="s">
        <v>1074</v>
      </c>
      <c r="E701" s="48">
        <f>SUM(E703,E702)</f>
        <v>30510700</v>
      </c>
      <c r="F701" s="48">
        <f>SUM(F703,F702)</f>
        <v>12000000</v>
      </c>
      <c r="G701" s="28">
        <f t="shared" si="41"/>
        <v>39.33046439445834</v>
      </c>
      <c r="H701" s="209"/>
    </row>
    <row r="702" spans="1:8" s="69" customFormat="1" ht="54" customHeight="1">
      <c r="A702" s="30"/>
      <c r="B702" s="31"/>
      <c r="C702" s="31" t="s">
        <v>438</v>
      </c>
      <c r="D702" s="32" t="s">
        <v>272</v>
      </c>
      <c r="E702" s="51">
        <v>30510700</v>
      </c>
      <c r="F702" s="51">
        <v>12000000</v>
      </c>
      <c r="G702" s="40">
        <f t="shared" si="41"/>
        <v>39.33046439445834</v>
      </c>
      <c r="H702" s="156"/>
    </row>
    <row r="703" spans="1:8" s="69" customFormat="1" ht="53.25" customHeight="1" hidden="1">
      <c r="A703" s="30"/>
      <c r="B703" s="31"/>
      <c r="C703" s="31" t="s">
        <v>911</v>
      </c>
      <c r="D703" s="32" t="s">
        <v>893</v>
      </c>
      <c r="E703" s="51">
        <v>0</v>
      </c>
      <c r="F703" s="51">
        <v>0</v>
      </c>
      <c r="G703" s="40" t="e">
        <f t="shared" si="41"/>
        <v>#DIV/0!</v>
      </c>
      <c r="H703" s="156"/>
    </row>
    <row r="704" spans="1:8" s="211" customFormat="1" ht="26.25" customHeight="1" hidden="1">
      <c r="A704" s="24"/>
      <c r="B704" s="46" t="s">
        <v>912</v>
      </c>
      <c r="C704" s="46"/>
      <c r="D704" s="26" t="s">
        <v>913</v>
      </c>
      <c r="E704" s="48">
        <f>SUM(E705)</f>
        <v>0</v>
      </c>
      <c r="F704" s="48">
        <f>SUM(F705)</f>
        <v>0</v>
      </c>
      <c r="G704" s="28" t="e">
        <f t="shared" si="41"/>
        <v>#DIV/0!</v>
      </c>
      <c r="H704" s="209"/>
    </row>
    <row r="705" spans="1:8" s="69" customFormat="1" ht="19.5" customHeight="1" hidden="1">
      <c r="A705" s="30"/>
      <c r="B705" s="31"/>
      <c r="C705" s="31" t="s">
        <v>430</v>
      </c>
      <c r="D705" s="32" t="s">
        <v>318</v>
      </c>
      <c r="E705" s="51">
        <v>0</v>
      </c>
      <c r="F705" s="51">
        <v>0</v>
      </c>
      <c r="G705" s="40" t="e">
        <f t="shared" si="41"/>
        <v>#DIV/0!</v>
      </c>
      <c r="H705" s="156"/>
    </row>
    <row r="706" spans="1:8" s="211" customFormat="1" ht="21.75" customHeight="1">
      <c r="A706" s="24"/>
      <c r="B706" s="46" t="s">
        <v>807</v>
      </c>
      <c r="C706" s="197"/>
      <c r="D706" s="26" t="s">
        <v>808</v>
      </c>
      <c r="E706" s="48">
        <f>SUM(E707,E708,E709,E710,E711)</f>
        <v>0</v>
      </c>
      <c r="F706" s="48">
        <f>SUM(F707,F708,F709,F710,F711)</f>
        <v>0.31</v>
      </c>
      <c r="G706" s="28" t="e">
        <f t="shared" si="41"/>
        <v>#DIV/0!</v>
      </c>
      <c r="H706" s="209"/>
    </row>
    <row r="707" spans="1:8" s="69" customFormat="1" ht="19.5" customHeight="1">
      <c r="A707" s="30"/>
      <c r="B707" s="31"/>
      <c r="C707" s="31" t="s">
        <v>679</v>
      </c>
      <c r="D707" s="32" t="s">
        <v>1377</v>
      </c>
      <c r="E707" s="51">
        <v>0</v>
      </c>
      <c r="F707" s="51">
        <v>0.31</v>
      </c>
      <c r="G707" s="40" t="e">
        <f t="shared" si="41"/>
        <v>#DIV/0!</v>
      </c>
      <c r="H707" s="156"/>
    </row>
    <row r="708" spans="1:8" s="69" customFormat="1" ht="18" customHeight="1" hidden="1">
      <c r="A708" s="30"/>
      <c r="B708" s="31"/>
      <c r="C708" s="31" t="s">
        <v>680</v>
      </c>
      <c r="D708" s="32" t="s">
        <v>770</v>
      </c>
      <c r="E708" s="51">
        <v>0</v>
      </c>
      <c r="F708" s="51">
        <v>0</v>
      </c>
      <c r="G708" s="34" t="e">
        <f t="shared" si="41"/>
        <v>#DIV/0!</v>
      </c>
      <c r="H708" s="156"/>
    </row>
    <row r="709" spans="1:8" s="69" customFormat="1" ht="39" customHeight="1" hidden="1">
      <c r="A709" s="30"/>
      <c r="B709" s="31"/>
      <c r="C709" s="66" t="s">
        <v>253</v>
      </c>
      <c r="D709" s="68" t="s">
        <v>1116</v>
      </c>
      <c r="E709" s="51">
        <v>0</v>
      </c>
      <c r="F709" s="51">
        <v>0</v>
      </c>
      <c r="G709" s="40" t="e">
        <f t="shared" si="41"/>
        <v>#DIV/0!</v>
      </c>
      <c r="H709" s="156"/>
    </row>
    <row r="710" spans="1:8" s="69" customFormat="1" ht="39" customHeight="1" hidden="1">
      <c r="A710" s="30"/>
      <c r="B710" s="31"/>
      <c r="C710" s="66" t="s">
        <v>1034</v>
      </c>
      <c r="D710" s="68" t="s">
        <v>1027</v>
      </c>
      <c r="E710" s="51">
        <v>0</v>
      </c>
      <c r="F710" s="51">
        <v>0</v>
      </c>
      <c r="G710" s="40" t="e">
        <f t="shared" si="41"/>
        <v>#DIV/0!</v>
      </c>
      <c r="H710" s="156"/>
    </row>
    <row r="711" spans="1:8" s="69" customFormat="1" ht="39" customHeight="1" hidden="1">
      <c r="A711" s="30"/>
      <c r="B711" s="31"/>
      <c r="C711" s="66" t="s">
        <v>1035</v>
      </c>
      <c r="D711" s="68" t="s">
        <v>1027</v>
      </c>
      <c r="E711" s="51">
        <v>0</v>
      </c>
      <c r="F711" s="51">
        <v>0</v>
      </c>
      <c r="G711" s="40" t="e">
        <f t="shared" si="41"/>
        <v>#DIV/0!</v>
      </c>
      <c r="H711" s="156"/>
    </row>
    <row r="712" spans="1:8" s="211" customFormat="1" ht="25.5" customHeight="1">
      <c r="A712" s="24"/>
      <c r="B712" s="46" t="s">
        <v>439</v>
      </c>
      <c r="C712" s="197"/>
      <c r="D712" s="26" t="s">
        <v>455</v>
      </c>
      <c r="E712" s="48">
        <f>E713</f>
        <v>3815546</v>
      </c>
      <c r="F712" s="48">
        <f>F713</f>
        <v>1907772</v>
      </c>
      <c r="G712" s="28">
        <f t="shared" si="41"/>
        <v>49.99997379143116</v>
      </c>
      <c r="H712" s="209"/>
    </row>
    <row r="713" spans="1:8" s="69" customFormat="1" ht="21" customHeight="1">
      <c r="A713" s="30"/>
      <c r="B713" s="31"/>
      <c r="C713" s="66" t="s">
        <v>430</v>
      </c>
      <c r="D713" s="68" t="s">
        <v>805</v>
      </c>
      <c r="E713" s="51">
        <v>3815546</v>
      </c>
      <c r="F713" s="51">
        <v>1907772</v>
      </c>
      <c r="G713" s="40">
        <f t="shared" si="41"/>
        <v>49.99997379143116</v>
      </c>
      <c r="H713" s="156"/>
    </row>
    <row r="714" spans="1:8" s="211" customFormat="1" ht="19.5" customHeight="1">
      <c r="A714" s="18" t="s">
        <v>12</v>
      </c>
      <c r="B714" s="42"/>
      <c r="C714" s="214"/>
      <c r="D714" s="43" t="s">
        <v>13</v>
      </c>
      <c r="E714" s="44">
        <f>SUM(E715,E717,E719,E721,E728,E739)</f>
        <v>350501</v>
      </c>
      <c r="F714" s="44">
        <f>SUM(F715,F717,F719,F721,F728,F739)</f>
        <v>25412</v>
      </c>
      <c r="G714" s="200">
        <f t="shared" si="41"/>
        <v>7.2501932947409555</v>
      </c>
      <c r="H714" s="209"/>
    </row>
    <row r="715" spans="1:8" s="211" customFormat="1" ht="19.5" customHeight="1" hidden="1">
      <c r="A715" s="24"/>
      <c r="B715" s="46" t="s">
        <v>1133</v>
      </c>
      <c r="C715" s="214"/>
      <c r="D715" s="47" t="s">
        <v>1134</v>
      </c>
      <c r="E715" s="48">
        <f>SUM(E716)</f>
        <v>0</v>
      </c>
      <c r="F715" s="48">
        <f>SUM(F716)</f>
        <v>0</v>
      </c>
      <c r="G715" s="28" t="e">
        <f aca="true" t="shared" si="42" ref="G715:G726">F715/E715*100</f>
        <v>#DIV/0!</v>
      </c>
      <c r="H715" s="209"/>
    </row>
    <row r="716" spans="1:8" s="69" customFormat="1" ht="52.5" customHeight="1" hidden="1">
      <c r="A716" s="30"/>
      <c r="B716" s="31"/>
      <c r="C716" s="215">
        <v>2110</v>
      </c>
      <c r="D716" s="32" t="s">
        <v>703</v>
      </c>
      <c r="E716" s="51">
        <v>0</v>
      </c>
      <c r="F716" s="51">
        <v>0</v>
      </c>
      <c r="G716" s="40" t="e">
        <f t="shared" si="42"/>
        <v>#DIV/0!</v>
      </c>
      <c r="H716" s="156"/>
    </row>
    <row r="717" spans="1:8" s="211" customFormat="1" ht="19.5" customHeight="1" hidden="1">
      <c r="A717" s="24"/>
      <c r="B717" s="46" t="s">
        <v>16</v>
      </c>
      <c r="C717" s="214"/>
      <c r="D717" s="47" t="s">
        <v>17</v>
      </c>
      <c r="E717" s="48">
        <f>SUM(E718)</f>
        <v>0</v>
      </c>
      <c r="F717" s="48">
        <f>SUM(F718)</f>
        <v>0</v>
      </c>
      <c r="G717" s="28" t="e">
        <f>F717/E717*100</f>
        <v>#DIV/0!</v>
      </c>
      <c r="H717" s="209"/>
    </row>
    <row r="718" spans="1:8" s="69" customFormat="1" ht="22.5" customHeight="1" hidden="1">
      <c r="A718" s="30"/>
      <c r="B718" s="31"/>
      <c r="C718" s="66" t="s">
        <v>680</v>
      </c>
      <c r="D718" s="32" t="s">
        <v>770</v>
      </c>
      <c r="E718" s="51">
        <v>0</v>
      </c>
      <c r="F718" s="51">
        <v>0</v>
      </c>
      <c r="G718" s="40" t="e">
        <f>F718/E718*100</f>
        <v>#DIV/0!</v>
      </c>
      <c r="H718" s="156"/>
    </row>
    <row r="719" spans="1:8" s="211" customFormat="1" ht="19.5" customHeight="1" hidden="1">
      <c r="A719" s="24"/>
      <c r="B719" s="46" t="s">
        <v>1140</v>
      </c>
      <c r="C719" s="214"/>
      <c r="D719" s="47" t="s">
        <v>1141</v>
      </c>
      <c r="E719" s="48">
        <f>SUM(E720)</f>
        <v>0</v>
      </c>
      <c r="F719" s="48">
        <f>SUM(F720)</f>
        <v>0</v>
      </c>
      <c r="G719" s="28" t="e">
        <f>F719/E719*100</f>
        <v>#DIV/0!</v>
      </c>
      <c r="H719" s="209"/>
    </row>
    <row r="720" spans="1:8" s="69" customFormat="1" ht="52.5" customHeight="1" hidden="1">
      <c r="A720" s="30"/>
      <c r="B720" s="31"/>
      <c r="C720" s="215">
        <v>2110</v>
      </c>
      <c r="D720" s="32" t="s">
        <v>703</v>
      </c>
      <c r="E720" s="51">
        <v>0</v>
      </c>
      <c r="F720" s="51">
        <v>0</v>
      </c>
      <c r="G720" s="40" t="e">
        <f>F720/E720*100</f>
        <v>#DIV/0!</v>
      </c>
      <c r="H720" s="156"/>
    </row>
    <row r="721" spans="1:8" s="211" customFormat="1" ht="19.5" customHeight="1">
      <c r="A721" s="18"/>
      <c r="B721" s="46" t="s">
        <v>18</v>
      </c>
      <c r="C721" s="214"/>
      <c r="D721" s="47" t="s">
        <v>277</v>
      </c>
      <c r="E721" s="48">
        <f>SUM(E722,E723,E724,E725,E726)</f>
        <v>12800</v>
      </c>
      <c r="F721" s="48">
        <f>SUM(F722,F723,F724,F725,F726)</f>
        <v>13412</v>
      </c>
      <c r="G721" s="28">
        <f t="shared" si="42"/>
        <v>104.78125</v>
      </c>
      <c r="H721" s="209"/>
    </row>
    <row r="722" spans="1:7" ht="27.75" customHeight="1" hidden="1">
      <c r="A722" s="30"/>
      <c r="B722" s="31"/>
      <c r="C722" s="31" t="s">
        <v>356</v>
      </c>
      <c r="D722" s="32" t="s">
        <v>355</v>
      </c>
      <c r="E722" s="33">
        <v>0</v>
      </c>
      <c r="F722" s="51">
        <v>0</v>
      </c>
      <c r="G722" s="40" t="e">
        <f t="shared" si="42"/>
        <v>#DIV/0!</v>
      </c>
    </row>
    <row r="723" spans="1:8" s="69" customFormat="1" ht="18" customHeight="1">
      <c r="A723" s="30"/>
      <c r="B723" s="31"/>
      <c r="C723" s="31" t="s">
        <v>680</v>
      </c>
      <c r="D723" s="32" t="s">
        <v>770</v>
      </c>
      <c r="E723" s="51">
        <v>0</v>
      </c>
      <c r="F723" s="51">
        <v>612</v>
      </c>
      <c r="G723" s="34" t="e">
        <f t="shared" si="42"/>
        <v>#DIV/0!</v>
      </c>
      <c r="H723" s="156"/>
    </row>
    <row r="724" spans="1:8" s="69" customFormat="1" ht="30.75" customHeight="1">
      <c r="A724" s="30"/>
      <c r="B724" s="31"/>
      <c r="C724" s="31" t="s">
        <v>432</v>
      </c>
      <c r="D724" s="32" t="s">
        <v>766</v>
      </c>
      <c r="E724" s="51">
        <v>12800</v>
      </c>
      <c r="F724" s="51">
        <v>12800</v>
      </c>
      <c r="G724" s="34">
        <f>F724/E724*100</f>
        <v>100</v>
      </c>
      <c r="H724" s="156"/>
    </row>
    <row r="725" spans="1:8" s="211" customFormat="1" ht="44.25" customHeight="1" hidden="1">
      <c r="A725" s="18"/>
      <c r="B725" s="46"/>
      <c r="C725" s="63" t="s">
        <v>253</v>
      </c>
      <c r="D725" s="38" t="s">
        <v>302</v>
      </c>
      <c r="E725" s="51">
        <v>0</v>
      </c>
      <c r="F725" s="51">
        <v>0</v>
      </c>
      <c r="G725" s="40" t="e">
        <f t="shared" si="42"/>
        <v>#DIV/0!</v>
      </c>
      <c r="H725" s="209"/>
    </row>
    <row r="726" spans="1:8" s="211" customFormat="1" ht="57" customHeight="1" hidden="1">
      <c r="A726" s="18"/>
      <c r="B726" s="46"/>
      <c r="C726" s="63" t="s">
        <v>346</v>
      </c>
      <c r="D726" s="222" t="s">
        <v>551</v>
      </c>
      <c r="E726" s="51">
        <v>0</v>
      </c>
      <c r="F726" s="51">
        <v>0</v>
      </c>
      <c r="G726" s="40" t="e">
        <f t="shared" si="42"/>
        <v>#DIV/0!</v>
      </c>
      <c r="H726" s="209"/>
    </row>
    <row r="727" spans="1:8" s="211" customFormat="1" ht="83.25" customHeight="1" hidden="1">
      <c r="A727" s="18"/>
      <c r="B727" s="46"/>
      <c r="C727" s="63"/>
      <c r="D727" s="38" t="s">
        <v>552</v>
      </c>
      <c r="E727" s="51"/>
      <c r="F727" s="51"/>
      <c r="G727" s="40"/>
      <c r="H727" s="209"/>
    </row>
    <row r="728" spans="1:8" s="211" customFormat="1" ht="19.5" customHeight="1">
      <c r="A728" s="24"/>
      <c r="B728" s="46" t="s">
        <v>19</v>
      </c>
      <c r="C728" s="214"/>
      <c r="D728" s="47" t="s">
        <v>20</v>
      </c>
      <c r="E728" s="48">
        <f>SUM(E729,E730,E731,E732,E734,E735,E736,E737)</f>
        <v>337701</v>
      </c>
      <c r="F728" s="48">
        <f>SUM(F729,F730,F731,F732,F734,F735,F736,F737)</f>
        <v>12000</v>
      </c>
      <c r="G728" s="28">
        <f>F728/E728*100</f>
        <v>3.5534392850480154</v>
      </c>
      <c r="H728" s="209"/>
    </row>
    <row r="729" spans="1:8" s="211" customFormat="1" ht="19.5" customHeight="1" hidden="1">
      <c r="A729" s="24"/>
      <c r="B729" s="46"/>
      <c r="C729" s="63" t="s">
        <v>682</v>
      </c>
      <c r="D729" s="38" t="s">
        <v>767</v>
      </c>
      <c r="E729" s="51">
        <v>0</v>
      </c>
      <c r="F729" s="51">
        <v>0</v>
      </c>
      <c r="G729" s="40" t="e">
        <f>F729/E729*100</f>
        <v>#DIV/0!</v>
      </c>
      <c r="H729" s="209"/>
    </row>
    <row r="730" spans="1:8" s="211" customFormat="1" ht="19.5" customHeight="1" hidden="1">
      <c r="A730" s="24"/>
      <c r="B730" s="46"/>
      <c r="C730" s="63" t="s">
        <v>667</v>
      </c>
      <c r="D730" s="38" t="s">
        <v>666</v>
      </c>
      <c r="E730" s="182">
        <v>0</v>
      </c>
      <c r="F730" s="182">
        <v>0</v>
      </c>
      <c r="G730" s="40" t="e">
        <f>F730/E730*100</f>
        <v>#DIV/0!</v>
      </c>
      <c r="H730" s="209"/>
    </row>
    <row r="731" spans="1:8" s="211" customFormat="1" ht="19.5" customHeight="1" hidden="1">
      <c r="A731" s="24"/>
      <c r="B731" s="46"/>
      <c r="C731" s="63" t="s">
        <v>680</v>
      </c>
      <c r="D731" s="32" t="s">
        <v>770</v>
      </c>
      <c r="E731" s="182">
        <v>0</v>
      </c>
      <c r="F731" s="182">
        <v>0</v>
      </c>
      <c r="G731" s="40" t="e">
        <f>F731/E731*100</f>
        <v>#DIV/0!</v>
      </c>
      <c r="H731" s="209"/>
    </row>
    <row r="732" spans="1:8" s="69" customFormat="1" ht="64.5" customHeight="1" hidden="1">
      <c r="A732" s="30"/>
      <c r="B732" s="31"/>
      <c r="C732" s="226">
        <v>2008</v>
      </c>
      <c r="D732" s="38" t="s">
        <v>477</v>
      </c>
      <c r="E732" s="51">
        <v>0</v>
      </c>
      <c r="F732" s="51">
        <v>0</v>
      </c>
      <c r="G732" s="40" t="e">
        <f aca="true" t="shared" si="43" ref="G732:G741">F732/E732*100</f>
        <v>#DIV/0!</v>
      </c>
      <c r="H732" s="156"/>
    </row>
    <row r="733" spans="1:8" s="69" customFormat="1" ht="66.75" customHeight="1" hidden="1">
      <c r="A733" s="30"/>
      <c r="B733" s="31"/>
      <c r="C733" s="226"/>
      <c r="D733" s="38" t="s">
        <v>552</v>
      </c>
      <c r="E733" s="51"/>
      <c r="F733" s="51"/>
      <c r="G733" s="40"/>
      <c r="H733" s="156"/>
    </row>
    <row r="734" spans="1:8" s="69" customFormat="1" ht="64.5" customHeight="1" hidden="1">
      <c r="A734" s="30"/>
      <c r="B734" s="31"/>
      <c r="C734" s="226">
        <v>2009</v>
      </c>
      <c r="D734" s="38" t="s">
        <v>477</v>
      </c>
      <c r="E734" s="51">
        <v>0</v>
      </c>
      <c r="F734" s="51">
        <v>0</v>
      </c>
      <c r="G734" s="40" t="e">
        <f t="shared" si="43"/>
        <v>#DIV/0!</v>
      </c>
      <c r="H734" s="156"/>
    </row>
    <row r="735" spans="1:8" s="69" customFormat="1" ht="31.5" customHeight="1">
      <c r="A735" s="30"/>
      <c r="B735" s="31"/>
      <c r="C735" s="215">
        <v>2130</v>
      </c>
      <c r="D735" s="32" t="s">
        <v>766</v>
      </c>
      <c r="E735" s="51">
        <v>12000</v>
      </c>
      <c r="F735" s="51">
        <v>12000</v>
      </c>
      <c r="G735" s="40">
        <f>F735/E735*100</f>
        <v>100</v>
      </c>
      <c r="H735" s="156"/>
    </row>
    <row r="736" spans="1:8" s="211" customFormat="1" ht="44.25" customHeight="1" hidden="1">
      <c r="A736" s="18"/>
      <c r="B736" s="46"/>
      <c r="C736" s="63" t="s">
        <v>253</v>
      </c>
      <c r="D736" s="38" t="s">
        <v>302</v>
      </c>
      <c r="E736" s="51">
        <v>0</v>
      </c>
      <c r="F736" s="51">
        <v>0</v>
      </c>
      <c r="G736" s="40" t="e">
        <f t="shared" si="43"/>
        <v>#DIV/0!</v>
      </c>
      <c r="H736" s="209"/>
    </row>
    <row r="737" spans="1:8" s="35" customFormat="1" ht="55.5" customHeight="1">
      <c r="A737" s="62"/>
      <c r="B737" s="63"/>
      <c r="C737" s="55" t="s">
        <v>1057</v>
      </c>
      <c r="D737" s="32" t="s">
        <v>797</v>
      </c>
      <c r="E737" s="64">
        <v>325701</v>
      </c>
      <c r="F737" s="64">
        <v>0</v>
      </c>
      <c r="G737" s="168">
        <f>F737/E737*100</f>
        <v>0</v>
      </c>
      <c r="H737" s="155"/>
    </row>
    <row r="738" spans="1:8" s="35" customFormat="1" ht="42.75" customHeight="1">
      <c r="A738" s="62"/>
      <c r="B738" s="63"/>
      <c r="C738" s="55"/>
      <c r="D738" s="32" t="s">
        <v>1425</v>
      </c>
      <c r="E738" s="182"/>
      <c r="F738" s="182"/>
      <c r="G738" s="168"/>
      <c r="H738" s="155"/>
    </row>
    <row r="739" spans="1:8" s="211" customFormat="1" ht="21" customHeight="1" hidden="1">
      <c r="A739" s="24"/>
      <c r="B739" s="197" t="s">
        <v>1149</v>
      </c>
      <c r="C739" s="214"/>
      <c r="D739" s="26" t="s">
        <v>176</v>
      </c>
      <c r="E739" s="48">
        <f>SUM(E740,E741)</f>
        <v>0</v>
      </c>
      <c r="F739" s="48">
        <f>SUM(F740,F741)</f>
        <v>0</v>
      </c>
      <c r="G739" s="28" t="e">
        <f t="shared" si="43"/>
        <v>#DIV/0!</v>
      </c>
      <c r="H739" s="209"/>
    </row>
    <row r="740" spans="1:8" s="69" customFormat="1" ht="31.5" customHeight="1" hidden="1">
      <c r="A740" s="30"/>
      <c r="B740" s="31"/>
      <c r="C740" s="215">
        <v>2130</v>
      </c>
      <c r="D740" s="32" t="s">
        <v>766</v>
      </c>
      <c r="E740" s="51">
        <v>0</v>
      </c>
      <c r="F740" s="51">
        <v>0</v>
      </c>
      <c r="G740" s="40" t="e">
        <f t="shared" si="43"/>
        <v>#DIV/0!</v>
      </c>
      <c r="H740" s="156"/>
    </row>
    <row r="741" spans="1:8" s="69" customFormat="1" ht="45" customHeight="1" hidden="1">
      <c r="A741" s="30"/>
      <c r="B741" s="31"/>
      <c r="C741" s="66" t="s">
        <v>102</v>
      </c>
      <c r="D741" s="68" t="s">
        <v>110</v>
      </c>
      <c r="E741" s="51">
        <v>0</v>
      </c>
      <c r="F741" s="51">
        <v>0</v>
      </c>
      <c r="G741" s="40" t="e">
        <f t="shared" si="43"/>
        <v>#DIV/0!</v>
      </c>
      <c r="H741" s="156"/>
    </row>
    <row r="742" spans="1:8" s="211" customFormat="1" ht="19.5" customHeight="1">
      <c r="A742" s="18" t="s">
        <v>21</v>
      </c>
      <c r="B742" s="42"/>
      <c r="C742" s="214"/>
      <c r="D742" s="43" t="s">
        <v>22</v>
      </c>
      <c r="E742" s="44">
        <f>SUM(E743,E748,E750,E753)</f>
        <v>635000</v>
      </c>
      <c r="F742" s="44">
        <f>SUM(F743,F748,F750,F753)</f>
        <v>378253.19</v>
      </c>
      <c r="G742" s="22">
        <f>F742/E742*100</f>
        <v>59.567431496062994</v>
      </c>
      <c r="H742" s="209"/>
    </row>
    <row r="743" spans="1:7" ht="18" customHeight="1">
      <c r="A743" s="70"/>
      <c r="B743" s="161" t="s">
        <v>1150</v>
      </c>
      <c r="C743" s="161"/>
      <c r="D743" s="183" t="s">
        <v>1151</v>
      </c>
      <c r="E743" s="163">
        <f>SUM(E744,E745,E746,E747)</f>
        <v>0</v>
      </c>
      <c r="F743" s="163">
        <f>SUM(F744,F745,F746,F747)</f>
        <v>8494.87</v>
      </c>
      <c r="G743" s="28" t="e">
        <f aca="true" t="shared" si="44" ref="G743:G850">F743/E743*100</f>
        <v>#DIV/0!</v>
      </c>
    </row>
    <row r="744" spans="1:7" ht="68.25" customHeight="1">
      <c r="A744" s="70"/>
      <c r="B744" s="161"/>
      <c r="C744" s="177" t="s">
        <v>409</v>
      </c>
      <c r="D744" s="61" t="s">
        <v>410</v>
      </c>
      <c r="E744" s="182">
        <v>0</v>
      </c>
      <c r="F744" s="182">
        <v>0</v>
      </c>
      <c r="G744" s="40" t="e">
        <f t="shared" si="44"/>
        <v>#DIV/0!</v>
      </c>
    </row>
    <row r="745" spans="1:8" s="35" customFormat="1" ht="25.5" customHeight="1">
      <c r="A745" s="62"/>
      <c r="B745" s="177"/>
      <c r="C745" s="177" t="s">
        <v>679</v>
      </c>
      <c r="D745" s="32" t="s">
        <v>1377</v>
      </c>
      <c r="E745" s="182">
        <v>0</v>
      </c>
      <c r="F745" s="182">
        <v>4293.06</v>
      </c>
      <c r="G745" s="40" t="e">
        <f t="shared" si="44"/>
        <v>#DIV/0!</v>
      </c>
      <c r="H745" s="155"/>
    </row>
    <row r="746" spans="1:7" ht="65.25" customHeight="1" hidden="1">
      <c r="A746" s="62"/>
      <c r="B746" s="177"/>
      <c r="C746" s="177" t="s">
        <v>961</v>
      </c>
      <c r="D746" s="32" t="s">
        <v>566</v>
      </c>
      <c r="E746" s="182">
        <v>0</v>
      </c>
      <c r="F746" s="182">
        <v>0</v>
      </c>
      <c r="G746" s="40" t="e">
        <f t="shared" si="44"/>
        <v>#DIV/0!</v>
      </c>
    </row>
    <row r="747" spans="1:7" ht="33" customHeight="1">
      <c r="A747" s="62"/>
      <c r="B747" s="177"/>
      <c r="C747" s="177" t="s">
        <v>1426</v>
      </c>
      <c r="D747" s="1378" t="s">
        <v>1427</v>
      </c>
      <c r="E747" s="182">
        <v>0</v>
      </c>
      <c r="F747" s="182">
        <v>4201.81</v>
      </c>
      <c r="G747" s="40" t="e">
        <f>F747/E747*100</f>
        <v>#DIV/0!</v>
      </c>
    </row>
    <row r="748" spans="1:7" ht="30.75" customHeight="1">
      <c r="A748" s="70"/>
      <c r="B748" s="161" t="s">
        <v>1152</v>
      </c>
      <c r="C748" s="161"/>
      <c r="D748" s="183" t="s">
        <v>1443</v>
      </c>
      <c r="E748" s="163">
        <f>SUM(E749)</f>
        <v>0</v>
      </c>
      <c r="F748" s="163">
        <f>SUM(F749)</f>
        <v>70762.32</v>
      </c>
      <c r="G748" s="28" t="e">
        <f>F748/E748*100</f>
        <v>#DIV/0!</v>
      </c>
    </row>
    <row r="749" spans="1:7" ht="33" customHeight="1">
      <c r="A749" s="62"/>
      <c r="B749" s="177"/>
      <c r="C749" s="177" t="s">
        <v>1426</v>
      </c>
      <c r="D749" s="32" t="s">
        <v>1427</v>
      </c>
      <c r="E749" s="182">
        <v>0</v>
      </c>
      <c r="F749" s="182">
        <v>70762.32</v>
      </c>
      <c r="G749" s="40" t="e">
        <f>F749/E749*100</f>
        <v>#DIV/0!</v>
      </c>
    </row>
    <row r="750" spans="1:8" s="211" customFormat="1" ht="43.5" customHeight="1">
      <c r="A750" s="24"/>
      <c r="B750" s="197" t="s">
        <v>810</v>
      </c>
      <c r="C750" s="214"/>
      <c r="D750" s="26" t="s">
        <v>1075</v>
      </c>
      <c r="E750" s="48">
        <f>SUM(E751,E752)</f>
        <v>635000</v>
      </c>
      <c r="F750" s="48">
        <f>SUM(F751,F752)</f>
        <v>298996</v>
      </c>
      <c r="G750" s="28">
        <f t="shared" si="44"/>
        <v>47.085984251968505</v>
      </c>
      <c r="H750" s="209"/>
    </row>
    <row r="751" spans="1:8" s="69" customFormat="1" ht="52.5" customHeight="1">
      <c r="A751" s="30"/>
      <c r="B751" s="31"/>
      <c r="C751" s="215">
        <v>2110</v>
      </c>
      <c r="D751" s="32" t="s">
        <v>703</v>
      </c>
      <c r="E751" s="51">
        <v>635000</v>
      </c>
      <c r="F751" s="51">
        <v>298996</v>
      </c>
      <c r="G751" s="40">
        <f t="shared" si="44"/>
        <v>47.085984251968505</v>
      </c>
      <c r="H751" s="156"/>
    </row>
    <row r="752" spans="1:8" s="69" customFormat="1" ht="41.25" customHeight="1" hidden="1">
      <c r="A752" s="30"/>
      <c r="B752" s="31"/>
      <c r="C752" s="215">
        <v>2910</v>
      </c>
      <c r="D752" s="32" t="s">
        <v>965</v>
      </c>
      <c r="E752" s="51">
        <v>0</v>
      </c>
      <c r="F752" s="51">
        <v>0</v>
      </c>
      <c r="G752" s="40" t="e">
        <f t="shared" si="44"/>
        <v>#DIV/0!</v>
      </c>
      <c r="H752" s="156"/>
    </row>
    <row r="753" spans="1:8" s="211" customFormat="1" ht="18" customHeight="1" hidden="1">
      <c r="A753" s="24"/>
      <c r="B753" s="46" t="s">
        <v>521</v>
      </c>
      <c r="C753" s="227"/>
      <c r="D753" s="26" t="s">
        <v>176</v>
      </c>
      <c r="E753" s="48">
        <f>SUM(E754,E755)</f>
        <v>0</v>
      </c>
      <c r="F753" s="48">
        <f>SUM(F754,F755)</f>
        <v>0</v>
      </c>
      <c r="G753" s="28" t="e">
        <f t="shared" si="44"/>
        <v>#DIV/0!</v>
      </c>
      <c r="H753" s="209"/>
    </row>
    <row r="754" spans="1:8" s="69" customFormat="1" ht="28.5" customHeight="1" hidden="1">
      <c r="A754" s="30"/>
      <c r="B754" s="31"/>
      <c r="C754" s="31" t="s">
        <v>681</v>
      </c>
      <c r="D754" s="32" t="s">
        <v>357</v>
      </c>
      <c r="E754" s="51">
        <v>0</v>
      </c>
      <c r="F754" s="51">
        <v>0</v>
      </c>
      <c r="G754" s="40" t="e">
        <f t="shared" si="44"/>
        <v>#DIV/0!</v>
      </c>
      <c r="H754" s="156"/>
    </row>
    <row r="755" spans="1:8" s="69" customFormat="1" ht="29.25" customHeight="1" hidden="1">
      <c r="A755" s="30"/>
      <c r="B755" s="31"/>
      <c r="C755" s="66" t="s">
        <v>432</v>
      </c>
      <c r="D755" s="32" t="s">
        <v>766</v>
      </c>
      <c r="E755" s="51">
        <v>0</v>
      </c>
      <c r="F755" s="51">
        <v>0</v>
      </c>
      <c r="G755" s="40" t="e">
        <f t="shared" si="44"/>
        <v>#DIV/0!</v>
      </c>
      <c r="H755" s="156"/>
    </row>
    <row r="756" spans="1:8" s="210" customFormat="1" ht="21.75" customHeight="1">
      <c r="A756" s="18" t="s">
        <v>440</v>
      </c>
      <c r="B756" s="42"/>
      <c r="C756" s="228"/>
      <c r="D756" s="52" t="s">
        <v>451</v>
      </c>
      <c r="E756" s="44">
        <f>SUM(E757,E764,E766,E777,E780,E782,E785)</f>
        <v>382768</v>
      </c>
      <c r="F756" s="44">
        <f>SUM(F757,F764,F766,F777,F780,F782,F785)</f>
        <v>195473</v>
      </c>
      <c r="G756" s="22">
        <f t="shared" si="44"/>
        <v>51.068271119842834</v>
      </c>
      <c r="H756" s="209"/>
    </row>
    <row r="757" spans="1:8" s="211" customFormat="1" ht="21.75" customHeight="1" hidden="1">
      <c r="A757" s="24"/>
      <c r="B757" s="46" t="s">
        <v>441</v>
      </c>
      <c r="C757" s="227"/>
      <c r="D757" s="229" t="s">
        <v>188</v>
      </c>
      <c r="E757" s="48">
        <f>SUM(E758,E759,E760,E761,E762,E763)</f>
        <v>0</v>
      </c>
      <c r="F757" s="48">
        <f>SUM(F758,F759,F760,F761,F762,F763)</f>
        <v>0</v>
      </c>
      <c r="G757" s="28" t="e">
        <f t="shared" si="44"/>
        <v>#DIV/0!</v>
      </c>
      <c r="H757" s="209"/>
    </row>
    <row r="758" spans="1:8" s="69" customFormat="1" ht="26.25" customHeight="1" hidden="1">
      <c r="A758" s="30"/>
      <c r="B758" s="31"/>
      <c r="C758" s="31" t="s">
        <v>1265</v>
      </c>
      <c r="D758" s="32" t="s">
        <v>1324</v>
      </c>
      <c r="E758" s="51">
        <v>0</v>
      </c>
      <c r="F758" s="51">
        <v>0</v>
      </c>
      <c r="G758" s="40" t="e">
        <f>F758/E758*100</f>
        <v>#DIV/0!</v>
      </c>
      <c r="H758" s="156"/>
    </row>
    <row r="759" spans="1:8" s="69" customFormat="1" ht="19.5" customHeight="1" hidden="1">
      <c r="A759" s="30"/>
      <c r="B759" s="31"/>
      <c r="C759" s="31" t="s">
        <v>679</v>
      </c>
      <c r="D759" s="32" t="s">
        <v>809</v>
      </c>
      <c r="E759" s="51">
        <v>0</v>
      </c>
      <c r="F759" s="51">
        <v>0</v>
      </c>
      <c r="G759" s="40" t="e">
        <f t="shared" si="44"/>
        <v>#DIV/0!</v>
      </c>
      <c r="H759" s="156"/>
    </row>
    <row r="760" spans="1:8" s="35" customFormat="1" ht="27.75" customHeight="1" hidden="1">
      <c r="A760" s="62"/>
      <c r="B760" s="63"/>
      <c r="C760" s="63" t="s">
        <v>300</v>
      </c>
      <c r="D760" s="38" t="s">
        <v>1396</v>
      </c>
      <c r="E760" s="64">
        <v>0</v>
      </c>
      <c r="F760" s="64">
        <v>0</v>
      </c>
      <c r="G760" s="40" t="e">
        <f t="shared" si="44"/>
        <v>#DIV/0!</v>
      </c>
      <c r="H760" s="155"/>
    </row>
    <row r="761" spans="1:8" s="69" customFormat="1" ht="21.75" customHeight="1" hidden="1">
      <c r="A761" s="30"/>
      <c r="B761" s="31"/>
      <c r="C761" s="66" t="s">
        <v>680</v>
      </c>
      <c r="D761" s="68" t="s">
        <v>770</v>
      </c>
      <c r="E761" s="51">
        <v>0</v>
      </c>
      <c r="F761" s="51">
        <v>0</v>
      </c>
      <c r="G761" s="40" t="e">
        <f t="shared" si="44"/>
        <v>#DIV/0!</v>
      </c>
      <c r="H761" s="156"/>
    </row>
    <row r="762" spans="1:8" s="69" customFormat="1" ht="52.5" customHeight="1" hidden="1">
      <c r="A762" s="30"/>
      <c r="B762" s="31"/>
      <c r="C762" s="1380" t="s">
        <v>723</v>
      </c>
      <c r="D762" s="68" t="s">
        <v>163</v>
      </c>
      <c r="E762" s="51">
        <v>0</v>
      </c>
      <c r="F762" s="51">
        <v>0</v>
      </c>
      <c r="G762" s="40" t="e">
        <f t="shared" si="44"/>
        <v>#DIV/0!</v>
      </c>
      <c r="H762" s="156"/>
    </row>
    <row r="763" spans="1:8" s="69" customFormat="1" ht="67.5" customHeight="1" hidden="1">
      <c r="A763" s="30"/>
      <c r="B763" s="31"/>
      <c r="C763" s="177" t="s">
        <v>961</v>
      </c>
      <c r="D763" s="32" t="s">
        <v>566</v>
      </c>
      <c r="E763" s="51">
        <v>0</v>
      </c>
      <c r="F763" s="51">
        <v>0</v>
      </c>
      <c r="G763" s="40" t="e">
        <f t="shared" si="44"/>
        <v>#DIV/0!</v>
      </c>
      <c r="H763" s="156"/>
    </row>
    <row r="764" spans="1:8" s="211" customFormat="1" ht="21.75" customHeight="1" hidden="1">
      <c r="A764" s="24"/>
      <c r="B764" s="46" t="s">
        <v>452</v>
      </c>
      <c r="C764" s="227"/>
      <c r="D764" s="229" t="s">
        <v>319</v>
      </c>
      <c r="E764" s="48">
        <f>SUM(E765)</f>
        <v>0</v>
      </c>
      <c r="F764" s="48">
        <f>SUM(F765)</f>
        <v>0</v>
      </c>
      <c r="G764" s="28" t="e">
        <f t="shared" si="44"/>
        <v>#DIV/0!</v>
      </c>
      <c r="H764" s="209"/>
    </row>
    <row r="765" spans="1:8" s="69" customFormat="1" ht="54" customHeight="1" hidden="1">
      <c r="A765" s="30"/>
      <c r="B765" s="31"/>
      <c r="C765" s="215">
        <v>2110</v>
      </c>
      <c r="D765" s="32" t="s">
        <v>703</v>
      </c>
      <c r="E765" s="67">
        <v>0</v>
      </c>
      <c r="F765" s="51">
        <v>0</v>
      </c>
      <c r="G765" s="40" t="e">
        <f t="shared" si="44"/>
        <v>#DIV/0!</v>
      </c>
      <c r="H765" s="156"/>
    </row>
    <row r="766" spans="1:8" s="211" customFormat="1" ht="20.25" customHeight="1" hidden="1">
      <c r="A766" s="24"/>
      <c r="B766" s="46" t="s">
        <v>526</v>
      </c>
      <c r="C766" s="227"/>
      <c r="D766" s="26" t="s">
        <v>527</v>
      </c>
      <c r="E766" s="218">
        <f>SUM(E767,E768,E769,E770,E771,E772,E773,E774,E775,E776)</f>
        <v>0</v>
      </c>
      <c r="F766" s="218">
        <f>SUM(F767,F768,F769,F770,F771,F772,F773,F774,F775,F776)</f>
        <v>0</v>
      </c>
      <c r="G766" s="28" t="e">
        <f t="shared" si="44"/>
        <v>#DIV/0!</v>
      </c>
      <c r="H766" s="209"/>
    </row>
    <row r="767" spans="1:8" s="69" customFormat="1" ht="28.5" customHeight="1" hidden="1">
      <c r="A767" s="30"/>
      <c r="B767" s="31"/>
      <c r="C767" s="66" t="s">
        <v>1265</v>
      </c>
      <c r="D767" s="32" t="s">
        <v>1271</v>
      </c>
      <c r="E767" s="67">
        <v>0</v>
      </c>
      <c r="F767" s="67">
        <v>0</v>
      </c>
      <c r="G767" s="40" t="e">
        <f t="shared" si="44"/>
        <v>#DIV/0!</v>
      </c>
      <c r="H767" s="156"/>
    </row>
    <row r="768" spans="1:8" s="69" customFormat="1" ht="20.25" customHeight="1" hidden="1">
      <c r="A768" s="30"/>
      <c r="B768" s="31"/>
      <c r="C768" s="66" t="s">
        <v>682</v>
      </c>
      <c r="D768" s="38" t="s">
        <v>767</v>
      </c>
      <c r="E768" s="67">
        <v>0</v>
      </c>
      <c r="F768" s="67">
        <v>0</v>
      </c>
      <c r="G768" s="40" t="e">
        <f t="shared" si="44"/>
        <v>#DIV/0!</v>
      </c>
      <c r="H768" s="156"/>
    </row>
    <row r="769" spans="1:8" s="69" customFormat="1" ht="19.5" customHeight="1" hidden="1">
      <c r="A769" s="30"/>
      <c r="B769" s="31"/>
      <c r="C769" s="31" t="s">
        <v>679</v>
      </c>
      <c r="D769" s="32" t="s">
        <v>1377</v>
      </c>
      <c r="E769" s="51">
        <v>0</v>
      </c>
      <c r="F769" s="51">
        <v>0</v>
      </c>
      <c r="G769" s="40" t="e">
        <f t="shared" si="44"/>
        <v>#DIV/0!</v>
      </c>
      <c r="H769" s="156"/>
    </row>
    <row r="770" spans="1:8" s="69" customFormat="1" ht="20.25" customHeight="1" hidden="1">
      <c r="A770" s="30"/>
      <c r="B770" s="31"/>
      <c r="C770" s="66" t="s">
        <v>680</v>
      </c>
      <c r="D770" s="32" t="s">
        <v>770</v>
      </c>
      <c r="E770" s="67">
        <v>0</v>
      </c>
      <c r="F770" s="51">
        <v>0</v>
      </c>
      <c r="G770" s="40" t="e">
        <f t="shared" si="44"/>
        <v>#DIV/0!</v>
      </c>
      <c r="H770" s="156"/>
    </row>
    <row r="771" spans="1:8" s="69" customFormat="1" ht="53.25" customHeight="1" hidden="1">
      <c r="A771" s="30"/>
      <c r="B771" s="31"/>
      <c r="C771" s="66" t="s">
        <v>417</v>
      </c>
      <c r="D771" s="32" t="s">
        <v>167</v>
      </c>
      <c r="E771" s="67">
        <v>0</v>
      </c>
      <c r="F771" s="51">
        <v>0</v>
      </c>
      <c r="G771" s="40" t="e">
        <f t="shared" si="44"/>
        <v>#DIV/0!</v>
      </c>
      <c r="H771" s="156"/>
    </row>
    <row r="772" spans="1:8" s="69" customFormat="1" ht="30" customHeight="1" hidden="1">
      <c r="A772" s="30"/>
      <c r="B772" s="31"/>
      <c r="C772" s="66" t="s">
        <v>432</v>
      </c>
      <c r="D772" s="32" t="s">
        <v>766</v>
      </c>
      <c r="E772" s="67">
        <v>0</v>
      </c>
      <c r="F772" s="51">
        <v>0</v>
      </c>
      <c r="G772" s="40" t="e">
        <f t="shared" si="44"/>
        <v>#DIV/0!</v>
      </c>
      <c r="H772" s="156"/>
    </row>
    <row r="773" spans="1:8" s="69" customFormat="1" ht="82.5" customHeight="1" hidden="1">
      <c r="A773" s="30"/>
      <c r="B773" s="31"/>
      <c r="C773" s="66" t="s">
        <v>1325</v>
      </c>
      <c r="D773" s="32" t="s">
        <v>1399</v>
      </c>
      <c r="E773" s="67">
        <v>0</v>
      </c>
      <c r="F773" s="51">
        <v>0</v>
      </c>
      <c r="G773" s="40" t="e">
        <f t="shared" si="44"/>
        <v>#DIV/0!</v>
      </c>
      <c r="H773" s="156"/>
    </row>
    <row r="774" spans="1:8" s="69" customFormat="1" ht="54.75" customHeight="1" hidden="1">
      <c r="A774" s="30"/>
      <c r="B774" s="31"/>
      <c r="C774" s="31" t="s">
        <v>671</v>
      </c>
      <c r="D774" s="32" t="s">
        <v>672</v>
      </c>
      <c r="E774" s="67">
        <v>0</v>
      </c>
      <c r="F774" s="51">
        <v>0</v>
      </c>
      <c r="G774" s="40" t="e">
        <f t="shared" si="44"/>
        <v>#DIV/0!</v>
      </c>
      <c r="H774" s="156"/>
    </row>
    <row r="775" spans="1:8" s="69" customFormat="1" ht="66" customHeight="1" hidden="1">
      <c r="A775" s="30"/>
      <c r="B775" s="31"/>
      <c r="C775" s="60" t="s">
        <v>723</v>
      </c>
      <c r="D775" s="230" t="s">
        <v>1403</v>
      </c>
      <c r="E775" s="51">
        <v>0</v>
      </c>
      <c r="F775" s="51">
        <v>0</v>
      </c>
      <c r="G775" s="40" t="e">
        <f t="shared" si="44"/>
        <v>#DIV/0!</v>
      </c>
      <c r="H775" s="156"/>
    </row>
    <row r="776" spans="1:8" s="69" customFormat="1" ht="63.75" customHeight="1" hidden="1">
      <c r="A776" s="30"/>
      <c r="B776" s="31"/>
      <c r="C776" s="60" t="s">
        <v>961</v>
      </c>
      <c r="D776" s="196" t="s">
        <v>359</v>
      </c>
      <c r="E776" s="51">
        <v>0</v>
      </c>
      <c r="F776" s="51">
        <v>0</v>
      </c>
      <c r="G776" s="40" t="e">
        <f t="shared" si="44"/>
        <v>#DIV/0!</v>
      </c>
      <c r="H776" s="156"/>
    </row>
    <row r="777" spans="1:8" s="69" customFormat="1" ht="24.75" customHeight="1">
      <c r="A777" s="24"/>
      <c r="B777" s="197" t="s">
        <v>416</v>
      </c>
      <c r="C777" s="214"/>
      <c r="D777" s="26" t="s">
        <v>987</v>
      </c>
      <c r="E777" s="48">
        <f>SUM(E778:E779)</f>
        <v>379268</v>
      </c>
      <c r="F777" s="48">
        <f>SUM(F778:F779)</f>
        <v>192768</v>
      </c>
      <c r="G777" s="28">
        <f aca="true" t="shared" si="45" ref="G777:G786">F777/E777*100</f>
        <v>50.82632861195777</v>
      </c>
      <c r="H777" s="156"/>
    </row>
    <row r="778" spans="1:8" s="210" customFormat="1" ht="54" customHeight="1">
      <c r="A778" s="30"/>
      <c r="B778" s="31"/>
      <c r="C778" s="215">
        <v>2110</v>
      </c>
      <c r="D778" s="32" t="s">
        <v>703</v>
      </c>
      <c r="E778" s="51">
        <v>379268</v>
      </c>
      <c r="F778" s="51">
        <v>192768</v>
      </c>
      <c r="G778" s="40">
        <f t="shared" si="45"/>
        <v>50.82632861195777</v>
      </c>
      <c r="H778" s="209"/>
    </row>
    <row r="779" spans="1:8" s="210" customFormat="1" ht="66.75" customHeight="1" hidden="1">
      <c r="A779" s="30"/>
      <c r="B779" s="31"/>
      <c r="C779" s="215">
        <v>2910</v>
      </c>
      <c r="D779" s="38" t="s">
        <v>566</v>
      </c>
      <c r="E779" s="64">
        <v>0</v>
      </c>
      <c r="F779" s="64">
        <v>0</v>
      </c>
      <c r="G779" s="40" t="e">
        <f t="shared" si="45"/>
        <v>#DIV/0!</v>
      </c>
      <c r="H779" s="209"/>
    </row>
    <row r="780" spans="1:8" s="211" customFormat="1" ht="20.25" customHeight="1" hidden="1">
      <c r="A780" s="24"/>
      <c r="B780" s="46" t="s">
        <v>528</v>
      </c>
      <c r="C780" s="197"/>
      <c r="D780" s="26" t="s">
        <v>529</v>
      </c>
      <c r="E780" s="48">
        <f>SUM(E781)</f>
        <v>0</v>
      </c>
      <c r="F780" s="48">
        <f>SUM(F781)</f>
        <v>0</v>
      </c>
      <c r="G780" s="40" t="e">
        <f t="shared" si="45"/>
        <v>#DIV/0!</v>
      </c>
      <c r="H780" s="209"/>
    </row>
    <row r="781" spans="1:8" s="69" customFormat="1" ht="31.5" customHeight="1" hidden="1">
      <c r="A781" s="30"/>
      <c r="B781" s="31"/>
      <c r="C781" s="66" t="s">
        <v>432</v>
      </c>
      <c r="D781" s="32" t="s">
        <v>766</v>
      </c>
      <c r="E781" s="51">
        <v>0</v>
      </c>
      <c r="F781" s="51">
        <v>0</v>
      </c>
      <c r="G781" s="40" t="e">
        <f t="shared" si="45"/>
        <v>#DIV/0!</v>
      </c>
      <c r="H781" s="156"/>
    </row>
    <row r="782" spans="1:8" s="69" customFormat="1" ht="39" customHeight="1">
      <c r="A782" s="24"/>
      <c r="B782" s="46" t="s">
        <v>495</v>
      </c>
      <c r="C782" s="197"/>
      <c r="D782" s="26" t="s">
        <v>496</v>
      </c>
      <c r="E782" s="48">
        <f>SUM(E783)</f>
        <v>3500</v>
      </c>
      <c r="F782" s="48">
        <f>SUM(F783)</f>
        <v>2705</v>
      </c>
      <c r="G782" s="28">
        <f t="shared" si="45"/>
        <v>77.28571428571429</v>
      </c>
      <c r="H782" s="156"/>
    </row>
    <row r="783" spans="1:8" s="35" customFormat="1" ht="19.5" customHeight="1">
      <c r="A783" s="62"/>
      <c r="B783" s="63"/>
      <c r="C783" s="55" t="s">
        <v>680</v>
      </c>
      <c r="D783" s="38" t="s">
        <v>770</v>
      </c>
      <c r="E783" s="64">
        <v>3500</v>
      </c>
      <c r="F783" s="64">
        <v>2705</v>
      </c>
      <c r="G783" s="40">
        <f t="shared" si="45"/>
        <v>77.28571428571429</v>
      </c>
      <c r="H783" s="155"/>
    </row>
    <row r="784" spans="1:8" s="69" customFormat="1" ht="31.5" customHeight="1" hidden="1">
      <c r="A784" s="30"/>
      <c r="B784" s="31"/>
      <c r="C784" s="66" t="s">
        <v>432</v>
      </c>
      <c r="D784" s="32" t="s">
        <v>766</v>
      </c>
      <c r="E784" s="51">
        <v>0</v>
      </c>
      <c r="F784" s="51">
        <v>0</v>
      </c>
      <c r="G784" s="40" t="e">
        <f t="shared" si="45"/>
        <v>#DIV/0!</v>
      </c>
      <c r="H784" s="156"/>
    </row>
    <row r="785" spans="1:8" s="211" customFormat="1" ht="15.75" customHeight="1" hidden="1">
      <c r="A785" s="24"/>
      <c r="B785" s="46" t="s">
        <v>450</v>
      </c>
      <c r="C785" s="197"/>
      <c r="D785" s="26" t="s">
        <v>176</v>
      </c>
      <c r="E785" s="48">
        <f>SUM(E786)</f>
        <v>0</v>
      </c>
      <c r="F785" s="48">
        <f>SUM(F786)</f>
        <v>0</v>
      </c>
      <c r="G785" s="40" t="e">
        <f t="shared" si="45"/>
        <v>#DIV/0!</v>
      </c>
      <c r="H785" s="209"/>
    </row>
    <row r="786" spans="1:8" s="69" customFormat="1" ht="53.25" customHeight="1" hidden="1">
      <c r="A786" s="30"/>
      <c r="B786" s="31"/>
      <c r="C786" s="66" t="s">
        <v>417</v>
      </c>
      <c r="D786" s="32" t="s">
        <v>776</v>
      </c>
      <c r="E786" s="51">
        <v>0</v>
      </c>
      <c r="F786" s="51">
        <v>0</v>
      </c>
      <c r="G786" s="40" t="e">
        <f t="shared" si="45"/>
        <v>#DIV/0!</v>
      </c>
      <c r="H786" s="156"/>
    </row>
    <row r="787" spans="1:8" s="69" customFormat="1" ht="32.25" customHeight="1">
      <c r="A787" s="18" t="s">
        <v>25</v>
      </c>
      <c r="B787" s="42"/>
      <c r="C787" s="42"/>
      <c r="D787" s="52" t="s">
        <v>371</v>
      </c>
      <c r="E787" s="44">
        <f>SUM(E788,E790,E792,E795,E797)</f>
        <v>142748</v>
      </c>
      <c r="F787" s="44">
        <f>SUM(F788,F790,F792,F795,F797)</f>
        <v>89256.93</v>
      </c>
      <c r="G787" s="22">
        <f t="shared" si="44"/>
        <v>62.52762210328691</v>
      </c>
      <c r="H787" s="156"/>
    </row>
    <row r="788" spans="1:8" s="69" customFormat="1" ht="22.5" customHeight="1" hidden="1">
      <c r="A788" s="24"/>
      <c r="B788" s="197" t="s">
        <v>33</v>
      </c>
      <c r="C788" s="214"/>
      <c r="D788" s="26" t="s">
        <v>324</v>
      </c>
      <c r="E788" s="48">
        <f>E789</f>
        <v>0</v>
      </c>
      <c r="F788" s="48">
        <f>F789</f>
        <v>0</v>
      </c>
      <c r="G788" s="28" t="e">
        <f t="shared" si="44"/>
        <v>#DIV/0!</v>
      </c>
      <c r="H788" s="156"/>
    </row>
    <row r="789" spans="1:8" s="210" customFormat="1" ht="54.75" customHeight="1" hidden="1">
      <c r="A789" s="30"/>
      <c r="B789" s="31"/>
      <c r="C789" s="215">
        <v>2110</v>
      </c>
      <c r="D789" s="32" t="s">
        <v>703</v>
      </c>
      <c r="E789" s="51">
        <v>0</v>
      </c>
      <c r="F789" s="51">
        <v>0</v>
      </c>
      <c r="G789" s="40" t="e">
        <f t="shared" si="44"/>
        <v>#DIV/0!</v>
      </c>
      <c r="H789" s="209"/>
    </row>
    <row r="790" spans="1:8" s="211" customFormat="1" ht="28.5" customHeight="1" hidden="1">
      <c r="A790" s="24"/>
      <c r="B790" s="46" t="s">
        <v>1058</v>
      </c>
      <c r="C790" s="227"/>
      <c r="D790" s="26" t="s">
        <v>1059</v>
      </c>
      <c r="E790" s="48">
        <f>SUM(E791)</f>
        <v>0</v>
      </c>
      <c r="F790" s="48">
        <f>SUM(F791)</f>
        <v>0</v>
      </c>
      <c r="G790" s="28" t="e">
        <f t="shared" si="44"/>
        <v>#DIV/0!</v>
      </c>
      <c r="H790" s="209"/>
    </row>
    <row r="791" spans="1:8" s="69" customFormat="1" ht="21" customHeight="1" hidden="1">
      <c r="A791" s="30"/>
      <c r="B791" s="31"/>
      <c r="C791" s="66" t="s">
        <v>680</v>
      </c>
      <c r="D791" s="32" t="s">
        <v>770</v>
      </c>
      <c r="E791" s="51">
        <v>0</v>
      </c>
      <c r="F791" s="51">
        <v>0</v>
      </c>
      <c r="G791" s="40" t="e">
        <f t="shared" si="44"/>
        <v>#DIV/0!</v>
      </c>
      <c r="H791" s="156"/>
    </row>
    <row r="792" spans="1:8" s="69" customFormat="1" ht="19.5" customHeight="1">
      <c r="A792" s="24"/>
      <c r="B792" s="46" t="s">
        <v>712</v>
      </c>
      <c r="C792" s="197"/>
      <c r="D792" s="26" t="s">
        <v>713</v>
      </c>
      <c r="E792" s="48">
        <f>SUM(E793,E794)</f>
        <v>104600</v>
      </c>
      <c r="F792" s="48">
        <f>SUM(F793,F794)</f>
        <v>54109</v>
      </c>
      <c r="G792" s="28">
        <f t="shared" si="44"/>
        <v>51.72944550669216</v>
      </c>
      <c r="H792" s="156"/>
    </row>
    <row r="793" spans="1:8" s="35" customFormat="1" ht="19.5" customHeight="1">
      <c r="A793" s="62"/>
      <c r="B793" s="63"/>
      <c r="C793" s="55" t="s">
        <v>680</v>
      </c>
      <c r="D793" s="38" t="s">
        <v>770</v>
      </c>
      <c r="E793" s="64">
        <v>0</v>
      </c>
      <c r="F793" s="64">
        <v>109</v>
      </c>
      <c r="G793" s="40" t="e">
        <f t="shared" si="44"/>
        <v>#DIV/0!</v>
      </c>
      <c r="H793" s="155"/>
    </row>
    <row r="794" spans="1:8" s="69" customFormat="1" ht="63" customHeight="1">
      <c r="A794" s="30"/>
      <c r="B794" s="31"/>
      <c r="C794" s="66" t="s">
        <v>190</v>
      </c>
      <c r="D794" s="32" t="s">
        <v>798</v>
      </c>
      <c r="E794" s="51">
        <v>104600</v>
      </c>
      <c r="F794" s="51">
        <v>54000</v>
      </c>
      <c r="G794" s="40">
        <f t="shared" si="44"/>
        <v>51.625239005736134</v>
      </c>
      <c r="H794" s="156"/>
    </row>
    <row r="795" spans="1:8" s="69" customFormat="1" ht="20.25" customHeight="1" hidden="1">
      <c r="A795" s="24"/>
      <c r="B795" s="46" t="s">
        <v>1010</v>
      </c>
      <c r="C795" s="197"/>
      <c r="D795" s="26" t="s">
        <v>1011</v>
      </c>
      <c r="E795" s="48">
        <f>SUM(E796)</f>
        <v>0</v>
      </c>
      <c r="F795" s="48">
        <f>SUM(F796)</f>
        <v>0</v>
      </c>
      <c r="G795" s="28" t="e">
        <f>F795/E795*100</f>
        <v>#DIV/0!</v>
      </c>
      <c r="H795" s="156"/>
    </row>
    <row r="796" spans="1:8" s="69" customFormat="1" ht="63" customHeight="1" hidden="1">
      <c r="A796" s="30"/>
      <c r="B796" s="31"/>
      <c r="C796" s="215">
        <v>2110</v>
      </c>
      <c r="D796" s="32" t="s">
        <v>703</v>
      </c>
      <c r="E796" s="51">
        <v>0</v>
      </c>
      <c r="F796" s="51">
        <v>0</v>
      </c>
      <c r="G796" s="40" t="e">
        <f>F796/E796*100</f>
        <v>#DIV/0!</v>
      </c>
      <c r="H796" s="156"/>
    </row>
    <row r="797" spans="1:8" s="211" customFormat="1" ht="15.75" customHeight="1">
      <c r="A797" s="24"/>
      <c r="B797" s="46" t="s">
        <v>714</v>
      </c>
      <c r="C797" s="197"/>
      <c r="D797" s="26" t="s">
        <v>176</v>
      </c>
      <c r="E797" s="48">
        <f>SUM(E798,E800,E802,E804,E806,E808,E809)</f>
        <v>38148</v>
      </c>
      <c r="F797" s="48">
        <f>SUM(F798,F800,F802,F804,F806,F808,F809)</f>
        <v>35147.93</v>
      </c>
      <c r="G797" s="40">
        <f t="shared" si="44"/>
        <v>92.1357082940128</v>
      </c>
      <c r="H797" s="209"/>
    </row>
    <row r="798" spans="1:8" s="69" customFormat="1" ht="91.5" customHeight="1" hidden="1">
      <c r="A798" s="30"/>
      <c r="B798" s="31"/>
      <c r="C798" s="66" t="s">
        <v>709</v>
      </c>
      <c r="D798" s="61" t="s">
        <v>1269</v>
      </c>
      <c r="E798" s="51">
        <v>0</v>
      </c>
      <c r="F798" s="51">
        <v>0</v>
      </c>
      <c r="G798" s="28" t="e">
        <f t="shared" si="44"/>
        <v>#DIV/0!</v>
      </c>
      <c r="H798" s="156"/>
    </row>
    <row r="799" spans="1:8" s="69" customFormat="1" ht="31.5" customHeight="1" hidden="1">
      <c r="A799" s="30"/>
      <c r="B799" s="31"/>
      <c r="C799" s="66"/>
      <c r="D799" s="32" t="s">
        <v>707</v>
      </c>
      <c r="E799" s="51"/>
      <c r="F799" s="51"/>
      <c r="G799" s="40"/>
      <c r="H799" s="156"/>
    </row>
    <row r="800" spans="1:8" s="69" customFormat="1" ht="87.75" customHeight="1" hidden="1">
      <c r="A800" s="30"/>
      <c r="B800" s="31"/>
      <c r="C800" s="66" t="s">
        <v>403</v>
      </c>
      <c r="D800" s="61" t="s">
        <v>1269</v>
      </c>
      <c r="E800" s="51">
        <v>0</v>
      </c>
      <c r="F800" s="51">
        <v>0</v>
      </c>
      <c r="G800" s="40" t="e">
        <f t="shared" si="44"/>
        <v>#DIV/0!</v>
      </c>
      <c r="H800" s="156"/>
    </row>
    <row r="801" spans="1:8" s="69" customFormat="1" ht="28.5" customHeight="1" hidden="1">
      <c r="A801" s="30"/>
      <c r="B801" s="31"/>
      <c r="C801" s="66"/>
      <c r="D801" s="38" t="s">
        <v>108</v>
      </c>
      <c r="E801" s="51"/>
      <c r="F801" s="51"/>
      <c r="G801" s="40"/>
      <c r="H801" s="156"/>
    </row>
    <row r="802" spans="1:8" s="69" customFormat="1" ht="91.5" customHeight="1" hidden="1">
      <c r="A802" s="30"/>
      <c r="B802" s="31"/>
      <c r="C802" s="55" t="s">
        <v>914</v>
      </c>
      <c r="D802" s="61" t="s">
        <v>1269</v>
      </c>
      <c r="E802" s="51">
        <v>0</v>
      </c>
      <c r="F802" s="51">
        <v>0</v>
      </c>
      <c r="G802" s="40" t="e">
        <f>F802/E802*100</f>
        <v>#DIV/0!</v>
      </c>
      <c r="H802" s="156"/>
    </row>
    <row r="803" spans="1:8" s="69" customFormat="1" ht="67.5" customHeight="1" hidden="1">
      <c r="A803" s="30"/>
      <c r="B803" s="31"/>
      <c r="C803" s="55"/>
      <c r="D803" s="38" t="s">
        <v>1268</v>
      </c>
      <c r="E803" s="64"/>
      <c r="F803" s="64"/>
      <c r="G803" s="40" t="e">
        <f>F803/E803*100</f>
        <v>#DIV/0!</v>
      </c>
      <c r="H803" s="156"/>
    </row>
    <row r="804" spans="1:8" s="69" customFormat="1" ht="91.5" customHeight="1">
      <c r="A804" s="30"/>
      <c r="B804" s="31"/>
      <c r="C804" s="55" t="s">
        <v>1266</v>
      </c>
      <c r="D804" s="61" t="s">
        <v>1270</v>
      </c>
      <c r="E804" s="64">
        <v>29747</v>
      </c>
      <c r="F804" s="64">
        <v>29746.54</v>
      </c>
      <c r="G804" s="40">
        <f>F804/E804*100</f>
        <v>99.99845362557569</v>
      </c>
      <c r="H804" s="156"/>
    </row>
    <row r="805" spans="1:8" s="69" customFormat="1" ht="27.75" customHeight="1">
      <c r="A805" s="30"/>
      <c r="B805" s="31"/>
      <c r="C805" s="55"/>
      <c r="D805" s="38" t="s">
        <v>108</v>
      </c>
      <c r="E805" s="64"/>
      <c r="F805" s="64"/>
      <c r="G805" s="40"/>
      <c r="H805" s="156"/>
    </row>
    <row r="806" spans="1:8" s="69" customFormat="1" ht="87" customHeight="1">
      <c r="A806" s="30"/>
      <c r="B806" s="31"/>
      <c r="C806" s="55" t="s">
        <v>1267</v>
      </c>
      <c r="D806" s="61" t="s">
        <v>1270</v>
      </c>
      <c r="E806" s="64">
        <v>1801</v>
      </c>
      <c r="F806" s="64">
        <v>1801.39</v>
      </c>
      <c r="G806" s="40">
        <f>F806/E806*100</f>
        <v>100.02165463631316</v>
      </c>
      <c r="H806" s="156"/>
    </row>
    <row r="807" spans="1:8" s="69" customFormat="1" ht="64.5" customHeight="1">
      <c r="A807" s="30"/>
      <c r="B807" s="31"/>
      <c r="C807" s="55"/>
      <c r="D807" s="38" t="s">
        <v>1268</v>
      </c>
      <c r="E807" s="64"/>
      <c r="F807" s="64"/>
      <c r="G807" s="40"/>
      <c r="H807" s="156"/>
    </row>
    <row r="808" spans="1:8" s="69" customFormat="1" ht="64.5" customHeight="1">
      <c r="A808" s="30"/>
      <c r="B808" s="31"/>
      <c r="C808" s="55" t="s">
        <v>294</v>
      </c>
      <c r="D808" s="32" t="s">
        <v>703</v>
      </c>
      <c r="E808" s="51">
        <v>6600</v>
      </c>
      <c r="F808" s="51">
        <v>3600</v>
      </c>
      <c r="G808" s="40">
        <f>F808/E808*100</f>
        <v>54.54545454545454</v>
      </c>
      <c r="H808" s="156"/>
    </row>
    <row r="809" spans="1:8" s="69" customFormat="1" ht="69.75" customHeight="1" hidden="1">
      <c r="A809" s="30"/>
      <c r="B809" s="31"/>
      <c r="C809" s="55" t="s">
        <v>296</v>
      </c>
      <c r="D809" s="68" t="s">
        <v>298</v>
      </c>
      <c r="E809" s="51">
        <v>0</v>
      </c>
      <c r="F809" s="51">
        <v>0</v>
      </c>
      <c r="G809" s="40" t="e">
        <f>F809/E809*100</f>
        <v>#DIV/0!</v>
      </c>
      <c r="H809" s="156"/>
    </row>
    <row r="810" spans="1:8" s="69" customFormat="1" ht="33.75" customHeight="1" hidden="1">
      <c r="A810" s="30"/>
      <c r="B810" s="31"/>
      <c r="C810" s="55"/>
      <c r="D810" s="38" t="s">
        <v>108</v>
      </c>
      <c r="E810" s="64"/>
      <c r="F810" s="64"/>
      <c r="G810" s="40"/>
      <c r="H810" s="156"/>
    </row>
    <row r="811" spans="1:8" s="211" customFormat="1" ht="21" customHeight="1">
      <c r="A811" s="18" t="s">
        <v>35</v>
      </c>
      <c r="B811" s="42"/>
      <c r="C811" s="42"/>
      <c r="D811" s="52" t="s">
        <v>38</v>
      </c>
      <c r="E811" s="44">
        <f>SUM(E812,E816,E819,E821,E827)</f>
        <v>0</v>
      </c>
      <c r="F811" s="44">
        <f>SUM(F812,F816,F819,F821,F827)</f>
        <v>373</v>
      </c>
      <c r="G811" s="22" t="e">
        <f t="shared" si="44"/>
        <v>#DIV/0!</v>
      </c>
      <c r="H811" s="209"/>
    </row>
    <row r="812" spans="1:8" s="211" customFormat="1" ht="21" customHeight="1">
      <c r="A812" s="24"/>
      <c r="B812" s="46" t="s">
        <v>39</v>
      </c>
      <c r="C812" s="46"/>
      <c r="D812" s="26" t="s">
        <v>94</v>
      </c>
      <c r="E812" s="48">
        <f>SUM(E813,E814,E815)</f>
        <v>0</v>
      </c>
      <c r="F812" s="48">
        <f>SUM(F813,F814,F815)</f>
        <v>373</v>
      </c>
      <c r="G812" s="28" t="e">
        <f t="shared" si="44"/>
        <v>#DIV/0!</v>
      </c>
      <c r="H812" s="209"/>
    </row>
    <row r="813" spans="1:8" s="211" customFormat="1" ht="32.25" customHeight="1">
      <c r="A813" s="24"/>
      <c r="B813" s="46"/>
      <c r="C813" s="31" t="s">
        <v>1314</v>
      </c>
      <c r="D813" s="32" t="s">
        <v>1326</v>
      </c>
      <c r="E813" s="39">
        <v>0</v>
      </c>
      <c r="F813" s="39">
        <v>373</v>
      </c>
      <c r="G813" s="40" t="e">
        <f>F813/E813*100</f>
        <v>#DIV/0!</v>
      </c>
      <c r="H813" s="209"/>
    </row>
    <row r="814" spans="1:8" s="211" customFormat="1" ht="21" customHeight="1" hidden="1">
      <c r="A814" s="24"/>
      <c r="B814" s="46"/>
      <c r="C814" s="31" t="s">
        <v>680</v>
      </c>
      <c r="D814" s="32" t="s">
        <v>1171</v>
      </c>
      <c r="E814" s="39">
        <v>0</v>
      </c>
      <c r="F814" s="39">
        <v>0</v>
      </c>
      <c r="G814" s="40" t="e">
        <f t="shared" si="44"/>
        <v>#DIV/0!</v>
      </c>
      <c r="H814" s="209"/>
    </row>
    <row r="815" spans="1:8" s="69" customFormat="1" ht="41.25" customHeight="1" hidden="1">
      <c r="A815" s="30"/>
      <c r="B815" s="31"/>
      <c r="C815" s="31" t="s">
        <v>253</v>
      </c>
      <c r="D815" s="32" t="s">
        <v>1116</v>
      </c>
      <c r="E815" s="51">
        <v>0</v>
      </c>
      <c r="F815" s="51">
        <v>0</v>
      </c>
      <c r="G815" s="28" t="e">
        <f t="shared" si="44"/>
        <v>#DIV/0!</v>
      </c>
      <c r="H815" s="156"/>
    </row>
    <row r="816" spans="1:8" s="211" customFormat="1" ht="30" customHeight="1" hidden="1">
      <c r="A816" s="24"/>
      <c r="B816" s="46" t="s">
        <v>40</v>
      </c>
      <c r="C816" s="46"/>
      <c r="D816" s="26" t="s">
        <v>28</v>
      </c>
      <c r="E816" s="48">
        <f>SUM(E817,E818)</f>
        <v>0</v>
      </c>
      <c r="F816" s="48">
        <f>SUM(F817,F818)</f>
        <v>0</v>
      </c>
      <c r="G816" s="28" t="e">
        <f t="shared" si="44"/>
        <v>#DIV/0!</v>
      </c>
      <c r="H816" s="209"/>
    </row>
    <row r="817" spans="1:8" s="211" customFormat="1" ht="21" customHeight="1" hidden="1">
      <c r="A817" s="24"/>
      <c r="B817" s="46"/>
      <c r="C817" s="31" t="s">
        <v>680</v>
      </c>
      <c r="D817" s="32" t="s">
        <v>1171</v>
      </c>
      <c r="E817" s="39">
        <v>0</v>
      </c>
      <c r="F817" s="39">
        <v>0</v>
      </c>
      <c r="G817" s="40" t="e">
        <f t="shared" si="44"/>
        <v>#DIV/0!</v>
      </c>
      <c r="H817" s="209"/>
    </row>
    <row r="818" spans="1:8" s="211" customFormat="1" ht="33" customHeight="1" hidden="1">
      <c r="A818" s="30"/>
      <c r="B818" s="31"/>
      <c r="C818" s="31" t="s">
        <v>432</v>
      </c>
      <c r="D818" s="32" t="s">
        <v>766</v>
      </c>
      <c r="E818" s="51">
        <v>0</v>
      </c>
      <c r="F818" s="51">
        <v>0</v>
      </c>
      <c r="G818" s="22" t="e">
        <f t="shared" si="44"/>
        <v>#DIV/0!</v>
      </c>
      <c r="H818" s="209"/>
    </row>
    <row r="819" spans="1:8" s="211" customFormat="1" ht="20.25" customHeight="1" hidden="1">
      <c r="A819" s="24"/>
      <c r="B819" s="46" t="s">
        <v>83</v>
      </c>
      <c r="C819" s="46"/>
      <c r="D819" s="26" t="s">
        <v>377</v>
      </c>
      <c r="E819" s="48">
        <f>SUM(E820)</f>
        <v>0</v>
      </c>
      <c r="F819" s="48">
        <f>SUM(F820)</f>
        <v>0</v>
      </c>
      <c r="G819" s="22" t="e">
        <f t="shared" si="44"/>
        <v>#DIV/0!</v>
      </c>
      <c r="H819" s="209"/>
    </row>
    <row r="820" spans="1:8" s="211" customFormat="1" ht="33" customHeight="1" hidden="1">
      <c r="A820" s="30"/>
      <c r="B820" s="31"/>
      <c r="C820" s="31" t="s">
        <v>432</v>
      </c>
      <c r="D820" s="32" t="s">
        <v>766</v>
      </c>
      <c r="E820" s="51">
        <v>0</v>
      </c>
      <c r="F820" s="51">
        <v>0</v>
      </c>
      <c r="G820" s="22" t="e">
        <f t="shared" si="44"/>
        <v>#DIV/0!</v>
      </c>
      <c r="H820" s="209"/>
    </row>
    <row r="821" spans="1:8" s="211" customFormat="1" ht="20.25" customHeight="1" hidden="1">
      <c r="A821" s="24"/>
      <c r="B821" s="46" t="s">
        <v>86</v>
      </c>
      <c r="C821" s="46"/>
      <c r="D821" s="26" t="s">
        <v>87</v>
      </c>
      <c r="E821" s="48">
        <f>SUM(E822,E823,E825)</f>
        <v>0</v>
      </c>
      <c r="F821" s="48">
        <f>SUM(F822,F823,F825)</f>
        <v>0</v>
      </c>
      <c r="G821" s="22" t="e">
        <f t="shared" si="44"/>
        <v>#DIV/0!</v>
      </c>
      <c r="H821" s="209"/>
    </row>
    <row r="822" spans="1:8" s="211" customFormat="1" ht="30.75" customHeight="1" hidden="1">
      <c r="A822" s="30"/>
      <c r="B822" s="31"/>
      <c r="C822" s="31" t="s">
        <v>432</v>
      </c>
      <c r="D822" s="32" t="s">
        <v>766</v>
      </c>
      <c r="E822" s="51">
        <v>0</v>
      </c>
      <c r="F822" s="51">
        <v>0</v>
      </c>
      <c r="G822" s="22" t="e">
        <f t="shared" si="44"/>
        <v>#DIV/0!</v>
      </c>
      <c r="H822" s="209"/>
    </row>
    <row r="823" spans="1:8" s="69" customFormat="1" ht="67.5" customHeight="1" hidden="1">
      <c r="A823" s="30"/>
      <c r="B823" s="31"/>
      <c r="C823" s="31" t="s">
        <v>673</v>
      </c>
      <c r="D823" s="32" t="s">
        <v>675</v>
      </c>
      <c r="E823" s="51">
        <v>0</v>
      </c>
      <c r="F823" s="51">
        <v>0</v>
      </c>
      <c r="G823" s="22" t="e">
        <f t="shared" si="44"/>
        <v>#DIV/0!</v>
      </c>
      <c r="H823" s="156"/>
    </row>
    <row r="824" spans="1:8" s="69" customFormat="1" ht="68.25" customHeight="1" hidden="1">
      <c r="A824" s="30"/>
      <c r="B824" s="31"/>
      <c r="C824" s="31"/>
      <c r="D824" s="32" t="s">
        <v>889</v>
      </c>
      <c r="E824" s="51"/>
      <c r="F824" s="51"/>
      <c r="G824" s="22" t="e">
        <f t="shared" si="44"/>
        <v>#DIV/0!</v>
      </c>
      <c r="H824" s="156"/>
    </row>
    <row r="825" spans="1:8" s="232" customFormat="1" ht="67.5" customHeight="1" hidden="1">
      <c r="A825" s="30"/>
      <c r="B825" s="31"/>
      <c r="C825" s="31" t="s">
        <v>674</v>
      </c>
      <c r="D825" s="32" t="s">
        <v>675</v>
      </c>
      <c r="E825" s="51">
        <v>0</v>
      </c>
      <c r="F825" s="51">
        <v>0</v>
      </c>
      <c r="G825" s="22" t="e">
        <f t="shared" si="44"/>
        <v>#DIV/0!</v>
      </c>
      <c r="H825" s="231"/>
    </row>
    <row r="826" spans="1:8" s="69" customFormat="1" ht="79.5" customHeight="1" hidden="1">
      <c r="A826" s="30"/>
      <c r="B826" s="31"/>
      <c r="C826" s="31"/>
      <c r="D826" s="32" t="s">
        <v>892</v>
      </c>
      <c r="E826" s="51"/>
      <c r="F826" s="51"/>
      <c r="G826" s="22" t="e">
        <f t="shared" si="44"/>
        <v>#DIV/0!</v>
      </c>
      <c r="H826" s="156"/>
    </row>
    <row r="827" spans="1:8" s="211" customFormat="1" ht="21" customHeight="1" hidden="1">
      <c r="A827" s="24"/>
      <c r="B827" s="46" t="s">
        <v>382</v>
      </c>
      <c r="C827" s="46"/>
      <c r="D827" s="26" t="s">
        <v>176</v>
      </c>
      <c r="E827" s="27">
        <f>SUM(E828,E829,E830)</f>
        <v>0</v>
      </c>
      <c r="F827" s="27">
        <f>SUM(F828,F829,F830)</f>
        <v>0</v>
      </c>
      <c r="G827" s="22" t="e">
        <f t="shared" si="44"/>
        <v>#DIV/0!</v>
      </c>
      <c r="H827" s="209"/>
    </row>
    <row r="828" spans="1:8" s="211" customFormat="1" ht="21" customHeight="1" hidden="1">
      <c r="A828" s="24"/>
      <c r="B828" s="46"/>
      <c r="C828" s="31" t="s">
        <v>680</v>
      </c>
      <c r="D828" s="32" t="s">
        <v>1171</v>
      </c>
      <c r="E828" s="39">
        <v>0</v>
      </c>
      <c r="F828" s="39">
        <v>0</v>
      </c>
      <c r="G828" s="22" t="e">
        <f t="shared" si="44"/>
        <v>#DIV/0!</v>
      </c>
      <c r="H828" s="209"/>
    </row>
    <row r="829" spans="1:8" s="69" customFormat="1" ht="30" customHeight="1" hidden="1">
      <c r="A829" s="30"/>
      <c r="B829" s="31"/>
      <c r="C829" s="31" t="s">
        <v>432</v>
      </c>
      <c r="D829" s="32" t="s">
        <v>766</v>
      </c>
      <c r="E829" s="39">
        <v>0</v>
      </c>
      <c r="F829" s="39">
        <v>0</v>
      </c>
      <c r="G829" s="22" t="e">
        <f t="shared" si="44"/>
        <v>#DIV/0!</v>
      </c>
      <c r="H829" s="156"/>
    </row>
    <row r="830" spans="1:8" s="69" customFormat="1" ht="44.25" customHeight="1" hidden="1">
      <c r="A830" s="30"/>
      <c r="B830" s="31"/>
      <c r="C830" s="31" t="s">
        <v>102</v>
      </c>
      <c r="D830" s="32" t="s">
        <v>847</v>
      </c>
      <c r="E830" s="39">
        <v>0</v>
      </c>
      <c r="F830" s="39">
        <v>0</v>
      </c>
      <c r="G830" s="22" t="e">
        <f t="shared" si="44"/>
        <v>#DIV/0!</v>
      </c>
      <c r="H830" s="156"/>
    </row>
    <row r="831" spans="1:8" s="211" customFormat="1" ht="21" customHeight="1">
      <c r="A831" s="18" t="s">
        <v>1430</v>
      </c>
      <c r="B831" s="42"/>
      <c r="C831" s="42"/>
      <c r="D831" s="52" t="s">
        <v>1444</v>
      </c>
      <c r="E831" s="44">
        <f>SUM(E832,E840)</f>
        <v>479908</v>
      </c>
      <c r="F831" s="44">
        <f>SUM(F832,F840)</f>
        <v>255982.44</v>
      </c>
      <c r="G831" s="22">
        <f aca="true" t="shared" si="46" ref="G831:G838">F831/E831*100</f>
        <v>53.339898480542104</v>
      </c>
      <c r="H831" s="209"/>
    </row>
    <row r="832" spans="1:8" s="211" customFormat="1" ht="21" customHeight="1">
      <c r="A832" s="24"/>
      <c r="B832" s="46" t="s">
        <v>1440</v>
      </c>
      <c r="C832" s="46"/>
      <c r="D832" s="26" t="s">
        <v>527</v>
      </c>
      <c r="E832" s="48">
        <f>SUM(E833,E834,E835,E836,E837,E838,E839)</f>
        <v>475900</v>
      </c>
      <c r="F832" s="48">
        <f>SUM(F833,F834,F835,F836,F837,F838,F839)</f>
        <v>248102.03</v>
      </c>
      <c r="G832" s="28">
        <f t="shared" si="46"/>
        <v>52.13322756881698</v>
      </c>
      <c r="H832" s="209"/>
    </row>
    <row r="833" spans="1:8" s="211" customFormat="1" ht="32.25" customHeight="1">
      <c r="A833" s="24"/>
      <c r="B833" s="46"/>
      <c r="C833" s="31" t="s">
        <v>1417</v>
      </c>
      <c r="D833" s="32" t="s">
        <v>1420</v>
      </c>
      <c r="E833" s="39">
        <v>0</v>
      </c>
      <c r="F833" s="39">
        <v>69.6</v>
      </c>
      <c r="G833" s="40" t="e">
        <f t="shared" si="46"/>
        <v>#DIV/0!</v>
      </c>
      <c r="H833" s="209"/>
    </row>
    <row r="834" spans="1:8" s="69" customFormat="1" ht="31.5" customHeight="1">
      <c r="A834" s="30"/>
      <c r="B834" s="31"/>
      <c r="C834" s="31" t="s">
        <v>1265</v>
      </c>
      <c r="D834" s="38" t="s">
        <v>1324</v>
      </c>
      <c r="E834" s="39">
        <v>8100</v>
      </c>
      <c r="F834" s="39">
        <v>7811.01</v>
      </c>
      <c r="G834" s="40">
        <f t="shared" si="46"/>
        <v>96.43222222222224</v>
      </c>
      <c r="H834" s="156"/>
    </row>
    <row r="835" spans="1:8" s="69" customFormat="1" ht="24" customHeight="1">
      <c r="A835" s="30"/>
      <c r="B835" s="31"/>
      <c r="C835" s="31" t="s">
        <v>679</v>
      </c>
      <c r="D835" s="32" t="s">
        <v>1377</v>
      </c>
      <c r="E835" s="39">
        <v>0</v>
      </c>
      <c r="F835" s="39">
        <v>737.82</v>
      </c>
      <c r="G835" s="40" t="e">
        <f t="shared" si="46"/>
        <v>#DIV/0!</v>
      </c>
      <c r="H835" s="156"/>
    </row>
    <row r="836" spans="1:8" s="69" customFormat="1" ht="22.5" customHeight="1">
      <c r="A836" s="30"/>
      <c r="B836" s="31"/>
      <c r="C836" s="31" t="s">
        <v>1414</v>
      </c>
      <c r="D836" s="38" t="s">
        <v>1415</v>
      </c>
      <c r="E836" s="39">
        <v>0</v>
      </c>
      <c r="F836" s="39">
        <v>1393.6</v>
      </c>
      <c r="G836" s="22" t="e">
        <f t="shared" si="46"/>
        <v>#DIV/0!</v>
      </c>
      <c r="H836" s="156"/>
    </row>
    <row r="837" spans="1:8" s="69" customFormat="1" ht="81.75" customHeight="1">
      <c r="A837" s="30"/>
      <c r="B837" s="31"/>
      <c r="C837" s="31" t="s">
        <v>1325</v>
      </c>
      <c r="D837" s="32" t="s">
        <v>1399</v>
      </c>
      <c r="E837" s="39">
        <v>331000</v>
      </c>
      <c r="F837" s="39">
        <v>179950</v>
      </c>
      <c r="G837" s="40">
        <f t="shared" si="46"/>
        <v>54.3655589123867</v>
      </c>
      <c r="H837" s="156"/>
    </row>
    <row r="838" spans="1:8" s="69" customFormat="1" ht="69" customHeight="1">
      <c r="A838" s="30"/>
      <c r="B838" s="31"/>
      <c r="C838" s="31" t="s">
        <v>723</v>
      </c>
      <c r="D838" s="32" t="s">
        <v>1445</v>
      </c>
      <c r="E838" s="39">
        <v>136800</v>
      </c>
      <c r="F838" s="39">
        <v>58040</v>
      </c>
      <c r="G838" s="40">
        <f t="shared" si="46"/>
        <v>42.42690058479533</v>
      </c>
      <c r="H838" s="156"/>
    </row>
    <row r="839" spans="1:8" s="69" customFormat="1" ht="69" customHeight="1">
      <c r="A839" s="30"/>
      <c r="B839" s="31"/>
      <c r="C839" s="63" t="s">
        <v>961</v>
      </c>
      <c r="D839" s="38" t="s">
        <v>566</v>
      </c>
      <c r="E839" s="64">
        <v>0</v>
      </c>
      <c r="F839" s="64">
        <v>100</v>
      </c>
      <c r="G839" s="40" t="e">
        <f>F839/E839*100</f>
        <v>#DIV/0!</v>
      </c>
      <c r="H839" s="156"/>
    </row>
    <row r="840" spans="1:8" s="211" customFormat="1" ht="23.25" customHeight="1">
      <c r="A840" s="24"/>
      <c r="B840" s="46" t="s">
        <v>1441</v>
      </c>
      <c r="C840" s="46"/>
      <c r="D840" s="26" t="s">
        <v>1442</v>
      </c>
      <c r="E840" s="27">
        <f>SUM(E841,E842,E843)</f>
        <v>4008</v>
      </c>
      <c r="F840" s="27">
        <f>SUM(F841,F842,F843)</f>
        <v>7880.41</v>
      </c>
      <c r="G840" s="28">
        <f t="shared" si="44"/>
        <v>196.61701596806387</v>
      </c>
      <c r="H840" s="209"/>
    </row>
    <row r="841" spans="1:8" s="211" customFormat="1" ht="29.25" customHeight="1">
      <c r="A841" s="24"/>
      <c r="B841" s="46"/>
      <c r="C841" s="31" t="s">
        <v>1265</v>
      </c>
      <c r="D841" s="38" t="s">
        <v>1324</v>
      </c>
      <c r="E841" s="39">
        <v>0</v>
      </c>
      <c r="F841" s="39">
        <v>1757.42</v>
      </c>
      <c r="G841" s="40" t="e">
        <f t="shared" si="44"/>
        <v>#DIV/0!</v>
      </c>
      <c r="H841" s="209"/>
    </row>
    <row r="842" spans="1:8" s="211" customFormat="1" ht="23.25" customHeight="1">
      <c r="A842" s="24"/>
      <c r="B842" s="46"/>
      <c r="C842" s="177" t="s">
        <v>679</v>
      </c>
      <c r="D842" s="32" t="s">
        <v>1377</v>
      </c>
      <c r="E842" s="182">
        <v>0</v>
      </c>
      <c r="F842" s="182">
        <v>2114.42</v>
      </c>
      <c r="G842" s="40" t="e">
        <f>F842/E842*100</f>
        <v>#DIV/0!</v>
      </c>
      <c r="H842" s="209"/>
    </row>
    <row r="843" spans="1:8" s="69" customFormat="1" ht="32.25" customHeight="1">
      <c r="A843" s="30"/>
      <c r="B843" s="31"/>
      <c r="C843" s="31" t="s">
        <v>1418</v>
      </c>
      <c r="D843" s="32" t="s">
        <v>1419</v>
      </c>
      <c r="E843" s="39">
        <v>4008</v>
      </c>
      <c r="F843" s="39">
        <v>4008.57</v>
      </c>
      <c r="G843" s="40">
        <f t="shared" si="44"/>
        <v>100.01422155688624</v>
      </c>
      <c r="H843" s="156"/>
    </row>
    <row r="844" spans="1:8" s="69" customFormat="1" ht="26.25" customHeight="1">
      <c r="A844" s="18" t="s">
        <v>89</v>
      </c>
      <c r="B844" s="42"/>
      <c r="C844" s="42"/>
      <c r="D844" s="52" t="s">
        <v>812</v>
      </c>
      <c r="E844" s="44">
        <f>SUM(E845,E847,E849,E851)</f>
        <v>102400</v>
      </c>
      <c r="F844" s="44">
        <f>SUM(F845,F847,F849,F851)</f>
        <v>107930.05</v>
      </c>
      <c r="G844" s="22">
        <f t="shared" si="44"/>
        <v>105.400439453125</v>
      </c>
      <c r="H844" s="156"/>
    </row>
    <row r="845" spans="1:8" s="211" customFormat="1" ht="20.25" customHeight="1" hidden="1">
      <c r="A845" s="24"/>
      <c r="B845" s="46" t="s">
        <v>414</v>
      </c>
      <c r="C845" s="197"/>
      <c r="D845" s="26" t="s">
        <v>415</v>
      </c>
      <c r="E845" s="53">
        <f>SUM(E846)</f>
        <v>0</v>
      </c>
      <c r="F845" s="48">
        <f>SUM(F846)</f>
        <v>0</v>
      </c>
      <c r="G845" s="22" t="e">
        <f t="shared" si="44"/>
        <v>#DIV/0!</v>
      </c>
      <c r="H845" s="209"/>
    </row>
    <row r="846" spans="1:8" s="211" customFormat="1" ht="21" customHeight="1" hidden="1">
      <c r="A846" s="235"/>
      <c r="B846" s="60"/>
      <c r="C846" s="236" t="s">
        <v>680</v>
      </c>
      <c r="D846" s="230" t="s">
        <v>770</v>
      </c>
      <c r="E846" s="51">
        <v>0</v>
      </c>
      <c r="F846" s="33">
        <v>0</v>
      </c>
      <c r="G846" s="22" t="e">
        <f t="shared" si="44"/>
        <v>#DIV/0!</v>
      </c>
      <c r="H846" s="209"/>
    </row>
    <row r="847" spans="1:8" s="211" customFormat="1" ht="18" customHeight="1" hidden="1">
      <c r="A847" s="233"/>
      <c r="B847" s="65" t="s">
        <v>91</v>
      </c>
      <c r="C847" s="234"/>
      <c r="D847" s="189" t="s">
        <v>92</v>
      </c>
      <c r="E847" s="48">
        <f>SUM(E848)</f>
        <v>0</v>
      </c>
      <c r="F847" s="53">
        <f>SUM(F848)</f>
        <v>0</v>
      </c>
      <c r="G847" s="54" t="e">
        <f t="shared" si="44"/>
        <v>#DIV/0!</v>
      </c>
      <c r="H847" s="209"/>
    </row>
    <row r="848" spans="1:8" s="211" customFormat="1" ht="15.75" customHeight="1" hidden="1">
      <c r="A848" s="235"/>
      <c r="B848" s="60"/>
      <c r="C848" s="236" t="s">
        <v>680</v>
      </c>
      <c r="D848" s="230" t="s">
        <v>770</v>
      </c>
      <c r="E848" s="33">
        <v>0</v>
      </c>
      <c r="F848" s="33">
        <v>0</v>
      </c>
      <c r="G848" s="34" t="e">
        <f t="shared" si="44"/>
        <v>#DIV/0!</v>
      </c>
      <c r="H848" s="209"/>
    </row>
    <row r="849" spans="1:8" s="211" customFormat="1" ht="27.75" customHeight="1">
      <c r="A849" s="233"/>
      <c r="B849" s="65" t="s">
        <v>1113</v>
      </c>
      <c r="C849" s="234"/>
      <c r="D849" s="189" t="s">
        <v>888</v>
      </c>
      <c r="E849" s="48">
        <f>SUM(E850)</f>
        <v>100000</v>
      </c>
      <c r="F849" s="53">
        <f>SUM(F850)</f>
        <v>107930.05</v>
      </c>
      <c r="G849" s="54">
        <f t="shared" si="44"/>
        <v>107.93005</v>
      </c>
      <c r="H849" s="209"/>
    </row>
    <row r="850" spans="1:8" s="211" customFormat="1" ht="21" customHeight="1">
      <c r="A850" s="235"/>
      <c r="B850" s="60"/>
      <c r="C850" s="236" t="s">
        <v>682</v>
      </c>
      <c r="D850" s="230" t="s">
        <v>767</v>
      </c>
      <c r="E850" s="33">
        <v>100000</v>
      </c>
      <c r="F850" s="33">
        <v>107930.05</v>
      </c>
      <c r="G850" s="34">
        <f t="shared" si="44"/>
        <v>107.93005</v>
      </c>
      <c r="H850" s="209"/>
    </row>
    <row r="851" spans="1:8" s="211" customFormat="1" ht="24.75" customHeight="1">
      <c r="A851" s="233"/>
      <c r="B851" s="65" t="s">
        <v>93</v>
      </c>
      <c r="C851" s="234"/>
      <c r="D851" s="189" t="s">
        <v>176</v>
      </c>
      <c r="E851" s="48">
        <f>SUM(E852,E853,E854,E855)</f>
        <v>2400</v>
      </c>
      <c r="F851" s="48">
        <f>SUM(F852,F853,F854,F855)</f>
        <v>0</v>
      </c>
      <c r="G851" s="54">
        <f aca="true" t="shared" si="47" ref="G851:G856">F851/E851*100</f>
        <v>0</v>
      </c>
      <c r="H851" s="209"/>
    </row>
    <row r="852" spans="1:8" s="69" customFormat="1" ht="24.75" customHeight="1" thickBot="1">
      <c r="A852" s="235"/>
      <c r="B852" s="60"/>
      <c r="C852" s="236" t="s">
        <v>667</v>
      </c>
      <c r="D852" s="230" t="s">
        <v>666</v>
      </c>
      <c r="E852" s="51">
        <v>2400</v>
      </c>
      <c r="F852" s="33">
        <v>0</v>
      </c>
      <c r="G852" s="34">
        <f t="shared" si="47"/>
        <v>0</v>
      </c>
      <c r="H852" s="156"/>
    </row>
    <row r="853" spans="1:8" s="69" customFormat="1" ht="24.75" customHeight="1" hidden="1">
      <c r="A853" s="235"/>
      <c r="B853" s="60"/>
      <c r="C853" s="31" t="s">
        <v>679</v>
      </c>
      <c r="D853" s="32" t="s">
        <v>809</v>
      </c>
      <c r="E853" s="51">
        <v>0</v>
      </c>
      <c r="F853" s="33">
        <v>0</v>
      </c>
      <c r="G853" s="34" t="e">
        <f t="shared" si="47"/>
        <v>#DIV/0!</v>
      </c>
      <c r="H853" s="156"/>
    </row>
    <row r="854" spans="1:8" s="69" customFormat="1" ht="63" customHeight="1" hidden="1" thickBot="1">
      <c r="A854" s="30"/>
      <c r="B854" s="31"/>
      <c r="C854" s="215">
        <v>2110</v>
      </c>
      <c r="D854" s="32" t="s">
        <v>703</v>
      </c>
      <c r="E854" s="51">
        <v>0</v>
      </c>
      <c r="F854" s="51">
        <v>0</v>
      </c>
      <c r="G854" s="40" t="e">
        <f t="shared" si="47"/>
        <v>#DIV/0!</v>
      </c>
      <c r="H854" s="156"/>
    </row>
    <row r="855" spans="1:8" s="69" customFormat="1" ht="54.75" customHeight="1" hidden="1" thickBot="1">
      <c r="A855" s="237"/>
      <c r="B855" s="238"/>
      <c r="C855" s="239" t="s">
        <v>699</v>
      </c>
      <c r="D855" s="240" t="s">
        <v>700</v>
      </c>
      <c r="E855" s="241">
        <v>0</v>
      </c>
      <c r="F855" s="241">
        <v>0</v>
      </c>
      <c r="G855" s="34" t="e">
        <f t="shared" si="47"/>
        <v>#DIV/0!</v>
      </c>
      <c r="H855" s="156"/>
    </row>
    <row r="856" spans="1:8" s="245" customFormat="1" ht="21" customHeight="1" thickBot="1">
      <c r="A856" s="1468" t="s">
        <v>41</v>
      </c>
      <c r="B856" s="1469"/>
      <c r="C856" s="1469"/>
      <c r="D856" s="1470"/>
      <c r="E856" s="242">
        <f>SUM(E7,E602)</f>
        <v>317783602.74</v>
      </c>
      <c r="F856" s="242">
        <f>SUM(F7,F602)</f>
        <v>163014373.24</v>
      </c>
      <c r="G856" s="243">
        <f t="shared" si="47"/>
        <v>51.297289046525464</v>
      </c>
      <c r="H856" s="244"/>
    </row>
    <row r="857" spans="1:8" s="45" customFormat="1" ht="19.5" customHeight="1" hidden="1">
      <c r="A857" s="286"/>
      <c r="B857" s="286"/>
      <c r="C857" s="286"/>
      <c r="D857" s="287" t="s">
        <v>42</v>
      </c>
      <c r="E857" s="288">
        <v>317783602.74</v>
      </c>
      <c r="F857" s="288">
        <v>163014373.24</v>
      </c>
      <c r="G857" s="289"/>
      <c r="H857" s="154"/>
    </row>
    <row r="858" spans="1:8" s="45" customFormat="1" ht="19.5" customHeight="1" hidden="1">
      <c r="A858" s="286"/>
      <c r="B858" s="286"/>
      <c r="C858" s="286"/>
      <c r="D858" s="287" t="s">
        <v>43</v>
      </c>
      <c r="E858" s="290">
        <f>E857-E856</f>
        <v>0</v>
      </c>
      <c r="F858" s="290">
        <f>F857-F856</f>
        <v>0</v>
      </c>
      <c r="G858" s="289"/>
      <c r="H858" s="154"/>
    </row>
    <row r="859" spans="1:8" s="35" customFormat="1" ht="19.5" customHeight="1">
      <c r="A859" s="291"/>
      <c r="B859" s="291"/>
      <c r="C859" s="291"/>
      <c r="D859" s="292"/>
      <c r="E859" s="186"/>
      <c r="F859" s="293"/>
      <c r="G859" s="294"/>
      <c r="H859" s="155"/>
    </row>
    <row r="860" spans="1:8" s="35" customFormat="1" ht="19.5" customHeight="1">
      <c r="A860" s="291"/>
      <c r="B860" s="291"/>
      <c r="C860" s="291"/>
      <c r="D860" s="292"/>
      <c r="E860" s="186"/>
      <c r="F860" s="186"/>
      <c r="G860" s="294"/>
      <c r="H860" s="155"/>
    </row>
    <row r="861" spans="1:6" ht="19.5" customHeight="1">
      <c r="A861" s="185"/>
      <c r="B861" s="185"/>
      <c r="C861" s="185"/>
      <c r="D861" s="298"/>
      <c r="E861" s="299"/>
      <c r="F861" s="300"/>
    </row>
    <row r="862" spans="1:6" ht="19.5" customHeight="1">
      <c r="A862" s="185"/>
      <c r="B862" s="185"/>
      <c r="C862" s="185"/>
      <c r="D862" s="298"/>
      <c r="E862" s="299"/>
      <c r="F862" s="300"/>
    </row>
    <row r="863" spans="1:6" ht="19.5" customHeight="1">
      <c r="A863" s="185"/>
      <c r="B863" s="185"/>
      <c r="C863" s="185"/>
      <c r="D863" s="298"/>
      <c r="E863" s="299"/>
      <c r="F863" s="300"/>
    </row>
    <row r="864" spans="1:6" ht="19.5" customHeight="1">
      <c r="A864" s="185"/>
      <c r="B864" s="185"/>
      <c r="C864" s="185"/>
      <c r="D864" s="298"/>
      <c r="E864" s="299"/>
      <c r="F864" s="300"/>
    </row>
    <row r="865" spans="1:6" ht="19.5" customHeight="1">
      <c r="A865" s="185"/>
      <c r="B865" s="185"/>
      <c r="C865" s="185"/>
      <c r="D865" s="298"/>
      <c r="E865" s="299"/>
      <c r="F865" s="300"/>
    </row>
    <row r="866" spans="1:6" ht="19.5" customHeight="1">
      <c r="A866" s="185"/>
      <c r="B866" s="185"/>
      <c r="C866" s="185"/>
      <c r="D866" s="298"/>
      <c r="E866" s="299"/>
      <c r="F866" s="300"/>
    </row>
    <row r="867" spans="1:6" ht="19.5" customHeight="1">
      <c r="A867" s="185"/>
      <c r="B867" s="185"/>
      <c r="C867" s="185"/>
      <c r="D867" s="298"/>
      <c r="E867" s="299"/>
      <c r="F867" s="300"/>
    </row>
    <row r="868" spans="1:6" ht="19.5" customHeight="1">
      <c r="A868" s="185"/>
      <c r="B868" s="185"/>
      <c r="C868" s="185"/>
      <c r="D868" s="298"/>
      <c r="E868" s="299"/>
      <c r="F868" s="300"/>
    </row>
    <row r="869" spans="1:6" ht="19.5" customHeight="1">
      <c r="A869" s="185"/>
      <c r="B869" s="185"/>
      <c r="C869" s="185"/>
      <c r="D869" s="298"/>
      <c r="E869" s="299"/>
      <c r="F869" s="300"/>
    </row>
    <row r="870" spans="1:6" ht="19.5" customHeight="1">
      <c r="A870" s="185"/>
      <c r="B870" s="185"/>
      <c r="C870" s="185"/>
      <c r="D870" s="298"/>
      <c r="E870" s="299"/>
      <c r="F870" s="300"/>
    </row>
    <row r="871" spans="1:9" ht="19.5" customHeight="1">
      <c r="A871" s="185"/>
      <c r="B871" s="185"/>
      <c r="C871" s="185"/>
      <c r="D871" s="298"/>
      <c r="E871" s="299"/>
      <c r="F871" s="300"/>
      <c r="I871" s="1381"/>
    </row>
    <row r="872" spans="1:6" ht="19.5" customHeight="1">
      <c r="A872" s="185"/>
      <c r="B872" s="185"/>
      <c r="C872" s="185"/>
      <c r="D872" s="298"/>
      <c r="E872" s="299"/>
      <c r="F872" s="300"/>
    </row>
    <row r="873" spans="1:6" ht="19.5" customHeight="1">
      <c r="A873" s="185"/>
      <c r="B873" s="185"/>
      <c r="C873" s="185"/>
      <c r="D873" s="298"/>
      <c r="E873" s="299"/>
      <c r="F873" s="300"/>
    </row>
    <row r="874" spans="1:6" ht="19.5" customHeight="1">
      <c r="A874" s="185"/>
      <c r="B874" s="185"/>
      <c r="C874" s="185"/>
      <c r="D874" s="298"/>
      <c r="E874" s="299"/>
      <c r="F874" s="300"/>
    </row>
    <row r="875" spans="1:6" ht="19.5" customHeight="1">
      <c r="A875" s="185"/>
      <c r="B875" s="185"/>
      <c r="C875" s="185"/>
      <c r="D875" s="298"/>
      <c r="E875" s="299"/>
      <c r="F875" s="300"/>
    </row>
    <row r="876" spans="1:6" ht="19.5" customHeight="1">
      <c r="A876" s="185"/>
      <c r="B876" s="185"/>
      <c r="C876" s="185"/>
      <c r="D876" s="298"/>
      <c r="E876" s="299"/>
      <c r="F876" s="300"/>
    </row>
    <row r="877" spans="1:6" ht="19.5" customHeight="1">
      <c r="A877" s="185"/>
      <c r="B877" s="185"/>
      <c r="C877" s="185"/>
      <c r="D877" s="298"/>
      <c r="E877" s="299"/>
      <c r="F877" s="300"/>
    </row>
    <row r="878" spans="1:6" ht="19.5" customHeight="1">
      <c r="A878" s="185"/>
      <c r="B878" s="185"/>
      <c r="C878" s="185"/>
      <c r="D878" s="298"/>
      <c r="E878" s="299"/>
      <c r="F878" s="300"/>
    </row>
    <row r="879" spans="1:6" ht="19.5" customHeight="1">
      <c r="A879" s="185"/>
      <c r="B879" s="185"/>
      <c r="C879" s="185"/>
      <c r="D879" s="298"/>
      <c r="E879" s="299"/>
      <c r="F879" s="300"/>
    </row>
    <row r="880" spans="1:6" ht="19.5" customHeight="1">
      <c r="A880" s="185"/>
      <c r="B880" s="185"/>
      <c r="C880" s="185"/>
      <c r="D880" s="298"/>
      <c r="E880" s="299"/>
      <c r="F880" s="300"/>
    </row>
    <row r="881" spans="1:6" ht="19.5" customHeight="1">
      <c r="A881" s="185"/>
      <c r="B881" s="185"/>
      <c r="C881" s="185"/>
      <c r="D881" s="298"/>
      <c r="E881" s="299"/>
      <c r="F881" s="300"/>
    </row>
    <row r="882" spans="1:6" ht="19.5" customHeight="1">
      <c r="A882" s="185"/>
      <c r="B882" s="185"/>
      <c r="C882" s="185"/>
      <c r="D882" s="298"/>
      <c r="E882" s="299"/>
      <c r="F882" s="300"/>
    </row>
    <row r="883" spans="1:6" ht="19.5" customHeight="1">
      <c r="A883" s="185"/>
      <c r="B883" s="185"/>
      <c r="C883" s="185"/>
      <c r="D883" s="298"/>
      <c r="E883" s="299"/>
      <c r="F883" s="300"/>
    </row>
    <row r="884" spans="1:6" ht="19.5" customHeight="1">
      <c r="A884" s="185"/>
      <c r="B884" s="185"/>
      <c r="C884" s="185"/>
      <c r="D884" s="298"/>
      <c r="E884" s="299"/>
      <c r="F884" s="300"/>
    </row>
    <row r="885" spans="1:6" ht="19.5" customHeight="1">
      <c r="A885" s="185"/>
      <c r="B885" s="185"/>
      <c r="C885" s="185"/>
      <c r="D885" s="298"/>
      <c r="E885" s="299"/>
      <c r="F885" s="300"/>
    </row>
    <row r="886" spans="1:6" ht="19.5" customHeight="1">
      <c r="A886" s="185"/>
      <c r="B886" s="185"/>
      <c r="C886" s="185"/>
      <c r="D886" s="298"/>
      <c r="E886" s="299"/>
      <c r="F886" s="300"/>
    </row>
    <row r="887" spans="1:6" ht="19.5" customHeight="1">
      <c r="A887" s="185"/>
      <c r="B887" s="185"/>
      <c r="C887" s="185"/>
      <c r="D887" s="298"/>
      <c r="E887" s="299"/>
      <c r="F887" s="300"/>
    </row>
    <row r="888" spans="1:6" ht="19.5" customHeight="1">
      <c r="A888" s="185"/>
      <c r="B888" s="185"/>
      <c r="C888" s="185"/>
      <c r="D888" s="298"/>
      <c r="E888" s="299"/>
      <c r="F888" s="300"/>
    </row>
    <row r="889" spans="1:6" ht="19.5" customHeight="1">
      <c r="A889" s="185"/>
      <c r="B889" s="185"/>
      <c r="C889" s="185"/>
      <c r="D889" s="298"/>
      <c r="E889" s="299"/>
      <c r="F889" s="300"/>
    </row>
    <row r="890" spans="1:6" ht="19.5" customHeight="1">
      <c r="A890" s="185"/>
      <c r="B890" s="185"/>
      <c r="C890" s="185"/>
      <c r="D890" s="298"/>
      <c r="E890" s="299"/>
      <c r="F890" s="300"/>
    </row>
    <row r="891" spans="1:6" ht="19.5" customHeight="1">
      <c r="A891" s="185"/>
      <c r="B891" s="185"/>
      <c r="C891" s="185"/>
      <c r="D891" s="298"/>
      <c r="E891" s="299"/>
      <c r="F891" s="300"/>
    </row>
    <row r="892" spans="1:6" ht="19.5" customHeight="1">
      <c r="A892" s="185"/>
      <c r="B892" s="185"/>
      <c r="C892" s="185"/>
      <c r="D892" s="298"/>
      <c r="E892" s="299"/>
      <c r="F892" s="300"/>
    </row>
    <row r="893" spans="1:6" ht="19.5" customHeight="1">
      <c r="A893" s="185"/>
      <c r="B893" s="185"/>
      <c r="C893" s="185"/>
      <c r="D893" s="298"/>
      <c r="E893" s="299"/>
      <c r="F893" s="300"/>
    </row>
    <row r="894" spans="1:6" ht="19.5" customHeight="1">
      <c r="A894" s="185"/>
      <c r="B894" s="185"/>
      <c r="C894" s="185"/>
      <c r="D894" s="298"/>
      <c r="E894" s="299"/>
      <c r="F894" s="300"/>
    </row>
    <row r="895" spans="1:6" ht="19.5" customHeight="1">
      <c r="A895" s="185"/>
      <c r="B895" s="185"/>
      <c r="C895" s="185"/>
      <c r="D895" s="298"/>
      <c r="E895" s="299"/>
      <c r="F895" s="300"/>
    </row>
    <row r="896" spans="1:6" ht="19.5" customHeight="1">
      <c r="A896" s="185"/>
      <c r="B896" s="185"/>
      <c r="C896" s="185"/>
      <c r="D896" s="298"/>
      <c r="E896" s="299"/>
      <c r="F896" s="300"/>
    </row>
    <row r="897" spans="1:6" ht="19.5" customHeight="1">
      <c r="A897" s="185"/>
      <c r="B897" s="185"/>
      <c r="C897" s="185"/>
      <c r="D897" s="298"/>
      <c r="E897" s="299"/>
      <c r="F897" s="300"/>
    </row>
    <row r="898" spans="1:6" ht="19.5" customHeight="1">
      <c r="A898" s="185"/>
      <c r="B898" s="185"/>
      <c r="C898" s="185"/>
      <c r="D898" s="298"/>
      <c r="E898" s="299"/>
      <c r="F898" s="300"/>
    </row>
    <row r="899" spans="1:6" ht="19.5" customHeight="1">
      <c r="A899" s="185"/>
      <c r="B899" s="185"/>
      <c r="C899" s="185"/>
      <c r="D899" s="298"/>
      <c r="E899" s="299"/>
      <c r="F899" s="300"/>
    </row>
    <row r="900" spans="1:6" ht="19.5" customHeight="1">
      <c r="A900" s="185"/>
      <c r="B900" s="185"/>
      <c r="C900" s="185"/>
      <c r="D900" s="298"/>
      <c r="E900" s="299"/>
      <c r="F900" s="300"/>
    </row>
    <row r="901" spans="1:6" ht="19.5" customHeight="1">
      <c r="A901" s="185"/>
      <c r="B901" s="185"/>
      <c r="C901" s="185"/>
      <c r="D901" s="298"/>
      <c r="E901" s="299"/>
      <c r="F901" s="300"/>
    </row>
    <row r="902" spans="1:6" ht="19.5" customHeight="1">
      <c r="A902" s="185"/>
      <c r="B902" s="185"/>
      <c r="C902" s="185"/>
      <c r="D902" s="298"/>
      <c r="E902" s="299"/>
      <c r="F902" s="300"/>
    </row>
    <row r="903" spans="1:6" ht="19.5" customHeight="1">
      <c r="A903" s="185"/>
      <c r="B903" s="185"/>
      <c r="C903" s="185"/>
      <c r="D903" s="298"/>
      <c r="E903" s="299"/>
      <c r="F903" s="300"/>
    </row>
    <row r="904" spans="1:6" ht="19.5" customHeight="1">
      <c r="A904" s="185"/>
      <c r="B904" s="185"/>
      <c r="C904" s="185"/>
      <c r="D904" s="298"/>
      <c r="E904" s="299"/>
      <c r="F904" s="300"/>
    </row>
    <row r="905" spans="1:6" ht="19.5" customHeight="1">
      <c r="A905" s="185"/>
      <c r="B905" s="185"/>
      <c r="C905" s="185"/>
      <c r="D905" s="298"/>
      <c r="E905" s="299"/>
      <c r="F905" s="300"/>
    </row>
    <row r="906" spans="1:6" ht="19.5" customHeight="1">
      <c r="A906" s="185"/>
      <c r="B906" s="185"/>
      <c r="C906" s="185"/>
      <c r="D906" s="298"/>
      <c r="E906" s="299"/>
      <c r="F906" s="300"/>
    </row>
    <row r="907" spans="1:6" ht="19.5" customHeight="1">
      <c r="A907" s="185"/>
      <c r="B907" s="185"/>
      <c r="C907" s="185"/>
      <c r="D907" s="298"/>
      <c r="E907" s="299"/>
      <c r="F907" s="300"/>
    </row>
    <row r="908" spans="1:6" ht="19.5" customHeight="1">
      <c r="A908" s="185"/>
      <c r="B908" s="185"/>
      <c r="C908" s="185"/>
      <c r="D908" s="298"/>
      <c r="E908" s="299"/>
      <c r="F908" s="300"/>
    </row>
    <row r="909" spans="1:6" ht="19.5" customHeight="1">
      <c r="A909" s="185"/>
      <c r="B909" s="185"/>
      <c r="C909" s="185"/>
      <c r="D909" s="298"/>
      <c r="E909" s="299"/>
      <c r="F909" s="300"/>
    </row>
    <row r="910" spans="1:6" ht="19.5" customHeight="1">
      <c r="A910" s="185"/>
      <c r="B910" s="185"/>
      <c r="C910" s="185"/>
      <c r="D910" s="298"/>
      <c r="E910" s="299"/>
      <c r="F910" s="300"/>
    </row>
    <row r="911" spans="1:6" ht="19.5" customHeight="1">
      <c r="A911" s="185"/>
      <c r="B911" s="185"/>
      <c r="C911" s="185"/>
      <c r="D911" s="298"/>
      <c r="E911" s="299"/>
      <c r="F911" s="300"/>
    </row>
    <row r="912" spans="1:6" ht="19.5" customHeight="1">
      <c r="A912" s="185"/>
      <c r="B912" s="185"/>
      <c r="C912" s="185"/>
      <c r="D912" s="298"/>
      <c r="E912" s="299"/>
      <c r="F912" s="300"/>
    </row>
    <row r="913" spans="1:6" ht="19.5" customHeight="1">
      <c r="A913" s="185"/>
      <c r="B913" s="185"/>
      <c r="C913" s="185"/>
      <c r="D913" s="298"/>
      <c r="E913" s="299"/>
      <c r="F913" s="300"/>
    </row>
    <row r="914" spans="1:6" ht="19.5" customHeight="1">
      <c r="A914" s="185"/>
      <c r="B914" s="185"/>
      <c r="C914" s="185"/>
      <c r="D914" s="298"/>
      <c r="E914" s="299"/>
      <c r="F914" s="300"/>
    </row>
    <row r="915" spans="1:6" ht="19.5" customHeight="1">
      <c r="A915" s="185"/>
      <c r="B915" s="185"/>
      <c r="C915" s="185"/>
      <c r="D915" s="298"/>
      <c r="E915" s="299"/>
      <c r="F915" s="300"/>
    </row>
    <row r="916" spans="1:6" ht="19.5" customHeight="1">
      <c r="A916" s="185"/>
      <c r="B916" s="185"/>
      <c r="C916" s="185"/>
      <c r="D916" s="298"/>
      <c r="E916" s="299"/>
      <c r="F916" s="300"/>
    </row>
    <row r="917" spans="1:6" ht="19.5" customHeight="1">
      <c r="A917" s="185"/>
      <c r="B917" s="185"/>
      <c r="C917" s="185"/>
      <c r="D917" s="298"/>
      <c r="E917" s="299"/>
      <c r="F917" s="300"/>
    </row>
    <row r="918" spans="1:6" ht="19.5" customHeight="1">
      <c r="A918" s="185"/>
      <c r="B918" s="185"/>
      <c r="C918" s="185"/>
      <c r="D918" s="298"/>
      <c r="E918" s="299"/>
      <c r="F918" s="300"/>
    </row>
    <row r="919" spans="1:6" ht="19.5" customHeight="1">
      <c r="A919" s="185"/>
      <c r="B919" s="185"/>
      <c r="C919" s="185"/>
      <c r="D919" s="298"/>
      <c r="E919" s="299"/>
      <c r="F919" s="300"/>
    </row>
    <row r="920" spans="1:6" ht="19.5" customHeight="1">
      <c r="A920" s="185"/>
      <c r="B920" s="185"/>
      <c r="C920" s="185"/>
      <c r="D920" s="298"/>
      <c r="E920" s="299"/>
      <c r="F920" s="300"/>
    </row>
    <row r="921" spans="1:6" ht="19.5" customHeight="1">
      <c r="A921" s="185"/>
      <c r="B921" s="185"/>
      <c r="C921" s="185"/>
      <c r="D921" s="298"/>
      <c r="E921" s="299"/>
      <c r="F921" s="300"/>
    </row>
    <row r="922" spans="1:6" ht="19.5" customHeight="1">
      <c r="A922" s="185"/>
      <c r="B922" s="185"/>
      <c r="C922" s="185"/>
      <c r="D922" s="298"/>
      <c r="E922" s="299"/>
      <c r="F922" s="300"/>
    </row>
    <row r="923" spans="1:6" ht="19.5" customHeight="1">
      <c r="A923" s="185"/>
      <c r="B923" s="185"/>
      <c r="C923" s="185"/>
      <c r="D923" s="298"/>
      <c r="E923" s="299"/>
      <c r="F923" s="300"/>
    </row>
    <row r="924" spans="1:6" ht="19.5" customHeight="1">
      <c r="A924" s="185"/>
      <c r="B924" s="185"/>
      <c r="C924" s="185"/>
      <c r="D924" s="298"/>
      <c r="E924" s="299"/>
      <c r="F924" s="300"/>
    </row>
    <row r="925" spans="1:6" ht="19.5" customHeight="1">
      <c r="A925" s="185"/>
      <c r="B925" s="185"/>
      <c r="C925" s="185"/>
      <c r="D925" s="298"/>
      <c r="E925" s="299"/>
      <c r="F925" s="300"/>
    </row>
    <row r="926" spans="1:6" ht="19.5" customHeight="1">
      <c r="A926" s="185"/>
      <c r="B926" s="185"/>
      <c r="C926" s="185"/>
      <c r="D926" s="298"/>
      <c r="E926" s="299"/>
      <c r="F926" s="300"/>
    </row>
    <row r="927" spans="1:6" ht="19.5" customHeight="1">
      <c r="A927" s="185"/>
      <c r="B927" s="185"/>
      <c r="C927" s="185"/>
      <c r="D927" s="298"/>
      <c r="E927" s="299"/>
      <c r="F927" s="300"/>
    </row>
    <row r="928" spans="1:6" ht="19.5" customHeight="1">
      <c r="A928" s="185"/>
      <c r="B928" s="185"/>
      <c r="C928" s="185"/>
      <c r="D928" s="298"/>
      <c r="E928" s="299"/>
      <c r="F928" s="300"/>
    </row>
    <row r="929" spans="1:6" ht="19.5" customHeight="1">
      <c r="A929" s="185"/>
      <c r="B929" s="185"/>
      <c r="C929" s="185"/>
      <c r="D929" s="298"/>
      <c r="E929" s="299"/>
      <c r="F929" s="300"/>
    </row>
    <row r="930" spans="1:6" ht="19.5" customHeight="1">
      <c r="A930" s="185"/>
      <c r="B930" s="185"/>
      <c r="C930" s="185"/>
      <c r="D930" s="298"/>
      <c r="E930" s="299"/>
      <c r="F930" s="300"/>
    </row>
    <row r="931" spans="1:6" ht="19.5" customHeight="1">
      <c r="A931" s="185"/>
      <c r="B931" s="185"/>
      <c r="C931" s="185"/>
      <c r="D931" s="298"/>
      <c r="E931" s="299"/>
      <c r="F931" s="300"/>
    </row>
    <row r="932" spans="1:6" ht="19.5" customHeight="1">
      <c r="A932" s="185"/>
      <c r="B932" s="185"/>
      <c r="C932" s="185"/>
      <c r="D932" s="298"/>
      <c r="E932" s="299"/>
      <c r="F932" s="300"/>
    </row>
    <row r="933" spans="1:6" ht="19.5" customHeight="1">
      <c r="A933" s="185"/>
      <c r="B933" s="185"/>
      <c r="C933" s="185"/>
      <c r="D933" s="298"/>
      <c r="E933" s="299"/>
      <c r="F933" s="300"/>
    </row>
    <row r="934" spans="1:6" ht="19.5" customHeight="1">
      <c r="A934" s="185"/>
      <c r="B934" s="185"/>
      <c r="C934" s="185"/>
      <c r="D934" s="298"/>
      <c r="E934" s="299"/>
      <c r="F934" s="300"/>
    </row>
    <row r="935" spans="1:6" ht="19.5" customHeight="1">
      <c r="A935" s="185"/>
      <c r="B935" s="185"/>
      <c r="C935" s="185"/>
      <c r="D935" s="298"/>
      <c r="E935" s="299"/>
      <c r="F935" s="300"/>
    </row>
    <row r="936" spans="1:6" ht="19.5" customHeight="1">
      <c r="A936" s="185"/>
      <c r="B936" s="185"/>
      <c r="C936" s="185"/>
      <c r="D936" s="298"/>
      <c r="E936" s="299"/>
      <c r="F936" s="300"/>
    </row>
    <row r="937" spans="1:6" ht="19.5" customHeight="1">
      <c r="A937" s="185"/>
      <c r="B937" s="185"/>
      <c r="C937" s="185"/>
      <c r="D937" s="298"/>
      <c r="E937" s="299"/>
      <c r="F937" s="300"/>
    </row>
    <row r="938" spans="1:6" ht="19.5" customHeight="1">
      <c r="A938" s="185"/>
      <c r="B938" s="185"/>
      <c r="C938" s="185"/>
      <c r="D938" s="298"/>
      <c r="E938" s="299"/>
      <c r="F938" s="300"/>
    </row>
    <row r="939" spans="1:6" ht="19.5" customHeight="1">
      <c r="A939" s="185"/>
      <c r="B939" s="185"/>
      <c r="C939" s="185"/>
      <c r="D939" s="298"/>
      <c r="E939" s="299"/>
      <c r="F939" s="300"/>
    </row>
    <row r="940" spans="1:6" ht="19.5" customHeight="1">
      <c r="A940" s="185"/>
      <c r="B940" s="185"/>
      <c r="C940" s="185"/>
      <c r="D940" s="298"/>
      <c r="E940" s="299"/>
      <c r="F940" s="300"/>
    </row>
    <row r="941" spans="1:6" ht="19.5" customHeight="1">
      <c r="A941" s="185"/>
      <c r="B941" s="185"/>
      <c r="C941" s="185"/>
      <c r="D941" s="298"/>
      <c r="E941" s="299"/>
      <c r="F941" s="300"/>
    </row>
    <row r="942" spans="1:6" ht="19.5" customHeight="1">
      <c r="A942" s="185"/>
      <c r="B942" s="185"/>
      <c r="C942" s="185"/>
      <c r="D942" s="298"/>
      <c r="E942" s="299"/>
      <c r="F942" s="300"/>
    </row>
    <row r="943" spans="1:6" ht="19.5" customHeight="1">
      <c r="A943" s="185"/>
      <c r="B943" s="185"/>
      <c r="C943" s="185"/>
      <c r="D943" s="298"/>
      <c r="E943" s="299"/>
      <c r="F943" s="300"/>
    </row>
    <row r="944" spans="1:6" ht="19.5" customHeight="1">
      <c r="A944" s="185"/>
      <c r="B944" s="185"/>
      <c r="C944" s="185"/>
      <c r="D944" s="298"/>
      <c r="E944" s="299"/>
      <c r="F944" s="300"/>
    </row>
    <row r="945" spans="1:6" ht="19.5" customHeight="1">
      <c r="A945" s="185"/>
      <c r="B945" s="185"/>
      <c r="C945" s="185"/>
      <c r="D945" s="298"/>
      <c r="E945" s="299"/>
      <c r="F945" s="300"/>
    </row>
    <row r="946" spans="1:6" ht="19.5" customHeight="1">
      <c r="A946" s="185"/>
      <c r="B946" s="185"/>
      <c r="C946" s="185"/>
      <c r="D946" s="298"/>
      <c r="E946" s="194"/>
      <c r="F946" s="300"/>
    </row>
    <row r="947" spans="1:6" ht="19.5" customHeight="1">
      <c r="A947" s="185"/>
      <c r="B947" s="185"/>
      <c r="C947" s="185"/>
      <c r="D947" s="298"/>
      <c r="E947" s="194"/>
      <c r="F947" s="300"/>
    </row>
    <row r="948" spans="1:6" ht="19.5" customHeight="1">
      <c r="A948" s="185"/>
      <c r="B948" s="185"/>
      <c r="C948" s="185"/>
      <c r="D948" s="298"/>
      <c r="E948" s="194"/>
      <c r="F948" s="300"/>
    </row>
    <row r="949" spans="1:6" ht="19.5" customHeight="1">
      <c r="A949" s="185"/>
      <c r="B949" s="185"/>
      <c r="C949" s="185"/>
      <c r="D949" s="298"/>
      <c r="E949" s="194"/>
      <c r="F949" s="300"/>
    </row>
    <row r="950" spans="1:6" ht="19.5" customHeight="1">
      <c r="A950" s="185"/>
      <c r="B950" s="185"/>
      <c r="C950" s="185"/>
      <c r="D950" s="298"/>
      <c r="E950" s="194"/>
      <c r="F950" s="300"/>
    </row>
    <row r="951" spans="1:6" ht="19.5" customHeight="1">
      <c r="A951" s="185"/>
      <c r="B951" s="185"/>
      <c r="C951" s="185"/>
      <c r="D951" s="298"/>
      <c r="E951" s="194"/>
      <c r="F951" s="300"/>
    </row>
    <row r="952" spans="1:6" ht="19.5" customHeight="1">
      <c r="A952" s="185"/>
      <c r="B952" s="185"/>
      <c r="C952" s="185"/>
      <c r="D952" s="298"/>
      <c r="E952" s="194"/>
      <c r="F952" s="300"/>
    </row>
    <row r="953" spans="1:6" ht="19.5" customHeight="1">
      <c r="A953" s="185"/>
      <c r="B953" s="185"/>
      <c r="C953" s="185"/>
      <c r="D953" s="298"/>
      <c r="E953" s="194"/>
      <c r="F953" s="300"/>
    </row>
    <row r="954" spans="1:6" ht="19.5" customHeight="1">
      <c r="A954" s="185"/>
      <c r="B954" s="185"/>
      <c r="C954" s="185"/>
      <c r="D954" s="298"/>
      <c r="E954" s="194"/>
      <c r="F954" s="300"/>
    </row>
    <row r="955" spans="1:6" ht="19.5" customHeight="1">
      <c r="A955" s="185"/>
      <c r="B955" s="185"/>
      <c r="C955" s="185"/>
      <c r="D955" s="298"/>
      <c r="E955" s="194"/>
      <c r="F955" s="300"/>
    </row>
    <row r="956" spans="1:6" ht="19.5" customHeight="1">
      <c r="A956" s="185"/>
      <c r="B956" s="185"/>
      <c r="C956" s="185"/>
      <c r="D956" s="298"/>
      <c r="E956" s="194"/>
      <c r="F956" s="300"/>
    </row>
    <row r="957" spans="1:6" ht="19.5" customHeight="1">
      <c r="A957" s="185"/>
      <c r="B957" s="185"/>
      <c r="C957" s="185"/>
      <c r="D957" s="298"/>
      <c r="E957" s="194"/>
      <c r="F957" s="300"/>
    </row>
    <row r="958" spans="1:6" ht="19.5" customHeight="1">
      <c r="A958" s="185"/>
      <c r="B958" s="185"/>
      <c r="C958" s="185"/>
      <c r="D958" s="298"/>
      <c r="E958" s="194"/>
      <c r="F958" s="300"/>
    </row>
    <row r="959" spans="1:6" ht="19.5" customHeight="1">
      <c r="A959" s="185"/>
      <c r="B959" s="185"/>
      <c r="C959" s="185"/>
      <c r="D959" s="298"/>
      <c r="E959" s="194"/>
      <c r="F959" s="300"/>
    </row>
    <row r="960" spans="1:6" ht="19.5" customHeight="1">
      <c r="A960" s="185"/>
      <c r="B960" s="185"/>
      <c r="C960" s="185"/>
      <c r="D960" s="298"/>
      <c r="E960" s="194"/>
      <c r="F960" s="300"/>
    </row>
    <row r="961" spans="1:6" ht="19.5" customHeight="1">
      <c r="A961" s="185"/>
      <c r="B961" s="185"/>
      <c r="C961" s="185"/>
      <c r="D961" s="298"/>
      <c r="E961" s="194"/>
      <c r="F961" s="300"/>
    </row>
    <row r="962" spans="1:6" ht="19.5" customHeight="1">
      <c r="A962" s="185"/>
      <c r="B962" s="185"/>
      <c r="C962" s="185"/>
      <c r="D962" s="298"/>
      <c r="E962" s="194"/>
      <c r="F962" s="300"/>
    </row>
    <row r="963" spans="1:6" ht="19.5" customHeight="1">
      <c r="A963" s="185"/>
      <c r="B963" s="185"/>
      <c r="C963" s="185"/>
      <c r="D963" s="298"/>
      <c r="E963" s="194"/>
      <c r="F963" s="300"/>
    </row>
    <row r="964" spans="1:6" ht="19.5" customHeight="1">
      <c r="A964" s="185"/>
      <c r="B964" s="185"/>
      <c r="C964" s="185"/>
      <c r="D964" s="298"/>
      <c r="E964" s="194"/>
      <c r="F964" s="300"/>
    </row>
    <row r="965" spans="1:6" ht="19.5" customHeight="1">
      <c r="A965" s="185"/>
      <c r="B965" s="185"/>
      <c r="C965" s="185"/>
      <c r="D965" s="298"/>
      <c r="E965" s="194"/>
      <c r="F965" s="300"/>
    </row>
    <row r="966" spans="1:6" ht="19.5" customHeight="1">
      <c r="A966" s="185"/>
      <c r="B966" s="185"/>
      <c r="C966" s="185"/>
      <c r="D966" s="298"/>
      <c r="E966" s="194"/>
      <c r="F966" s="300"/>
    </row>
    <row r="967" spans="1:6" ht="19.5" customHeight="1">
      <c r="A967" s="185"/>
      <c r="B967" s="185"/>
      <c r="C967" s="185"/>
      <c r="D967" s="298"/>
      <c r="E967" s="194"/>
      <c r="F967" s="300"/>
    </row>
    <row r="968" spans="1:6" ht="19.5" customHeight="1">
      <c r="A968" s="185"/>
      <c r="B968" s="185"/>
      <c r="C968" s="185"/>
      <c r="D968" s="298"/>
      <c r="E968" s="194"/>
      <c r="F968" s="300"/>
    </row>
    <row r="969" spans="1:6" ht="19.5" customHeight="1">
      <c r="A969" s="185"/>
      <c r="B969" s="185"/>
      <c r="C969" s="185"/>
      <c r="D969" s="298"/>
      <c r="E969" s="194"/>
      <c r="F969" s="300"/>
    </row>
    <row r="970" spans="1:6" ht="19.5" customHeight="1">
      <c r="A970" s="185"/>
      <c r="B970" s="185"/>
      <c r="C970" s="185"/>
      <c r="D970" s="298"/>
      <c r="E970" s="194"/>
      <c r="F970" s="300"/>
    </row>
    <row r="971" spans="1:6" ht="19.5" customHeight="1">
      <c r="A971" s="185"/>
      <c r="B971" s="185"/>
      <c r="C971" s="185"/>
      <c r="D971" s="298"/>
      <c r="E971" s="194"/>
      <c r="F971" s="300"/>
    </row>
    <row r="972" spans="1:6" ht="19.5" customHeight="1">
      <c r="A972" s="185"/>
      <c r="B972" s="185"/>
      <c r="C972" s="185"/>
      <c r="D972" s="298"/>
      <c r="E972" s="194"/>
      <c r="F972" s="300"/>
    </row>
    <row r="973" spans="1:6" ht="19.5" customHeight="1">
      <c r="A973" s="185"/>
      <c r="B973" s="185"/>
      <c r="C973" s="185"/>
      <c r="D973" s="298"/>
      <c r="E973" s="194"/>
      <c r="F973" s="300"/>
    </row>
    <row r="974" spans="1:6" ht="19.5" customHeight="1">
      <c r="A974" s="185"/>
      <c r="B974" s="185"/>
      <c r="C974" s="185"/>
      <c r="D974" s="298"/>
      <c r="E974" s="194"/>
      <c r="F974" s="300"/>
    </row>
    <row r="975" spans="1:5" ht="19.5" customHeight="1">
      <c r="A975" s="185"/>
      <c r="B975" s="185"/>
      <c r="C975" s="185"/>
      <c r="D975" s="298"/>
      <c r="E975" s="194"/>
    </row>
    <row r="976" spans="1:5" ht="19.5" customHeight="1">
      <c r="A976" s="185"/>
      <c r="B976" s="185"/>
      <c r="C976" s="185"/>
      <c r="D976" s="298"/>
      <c r="E976" s="194"/>
    </row>
    <row r="977" spans="1:5" ht="19.5" customHeight="1">
      <c r="A977" s="185"/>
      <c r="B977" s="185"/>
      <c r="C977" s="185"/>
      <c r="D977" s="298"/>
      <c r="E977" s="194"/>
    </row>
    <row r="978" spans="1:5" ht="19.5" customHeight="1">
      <c r="A978" s="185"/>
      <c r="B978" s="185"/>
      <c r="C978" s="185"/>
      <c r="D978" s="298"/>
      <c r="E978" s="194"/>
    </row>
    <row r="979" spans="1:5" ht="19.5" customHeight="1">
      <c r="A979" s="185"/>
      <c r="B979" s="185"/>
      <c r="C979" s="185"/>
      <c r="D979" s="298"/>
      <c r="E979" s="194"/>
    </row>
    <row r="980" spans="1:5" ht="19.5" customHeight="1">
      <c r="A980" s="185"/>
      <c r="B980" s="185"/>
      <c r="C980" s="185"/>
      <c r="D980" s="298"/>
      <c r="E980" s="194"/>
    </row>
    <row r="981" spans="1:5" ht="19.5" customHeight="1">
      <c r="A981" s="185"/>
      <c r="B981" s="185"/>
      <c r="C981" s="185"/>
      <c r="D981" s="298"/>
      <c r="E981" s="194"/>
    </row>
    <row r="982" spans="1:5" ht="19.5" customHeight="1">
      <c r="A982" s="185"/>
      <c r="B982" s="185"/>
      <c r="C982" s="185"/>
      <c r="D982" s="298"/>
      <c r="E982" s="194"/>
    </row>
    <row r="983" spans="1:5" ht="19.5" customHeight="1">
      <c r="A983" s="185"/>
      <c r="B983" s="185"/>
      <c r="C983" s="185"/>
      <c r="D983" s="298"/>
      <c r="E983" s="194"/>
    </row>
    <row r="984" spans="1:5" ht="19.5" customHeight="1">
      <c r="A984" s="185"/>
      <c r="B984" s="185"/>
      <c r="C984" s="185"/>
      <c r="D984" s="298"/>
      <c r="E984" s="194"/>
    </row>
    <row r="985" spans="1:5" ht="19.5" customHeight="1">
      <c r="A985" s="185"/>
      <c r="B985" s="185"/>
      <c r="C985" s="185"/>
      <c r="D985" s="298"/>
      <c r="E985" s="194"/>
    </row>
    <row r="986" spans="1:5" ht="19.5" customHeight="1">
      <c r="A986" s="185"/>
      <c r="B986" s="185"/>
      <c r="C986" s="185"/>
      <c r="D986" s="298"/>
      <c r="E986" s="194"/>
    </row>
    <row r="987" spans="1:5" ht="19.5" customHeight="1">
      <c r="A987" s="185"/>
      <c r="B987" s="185"/>
      <c r="C987" s="185"/>
      <c r="D987" s="298"/>
      <c r="E987" s="194"/>
    </row>
    <row r="988" spans="1:5" ht="19.5" customHeight="1">
      <c r="A988" s="185"/>
      <c r="B988" s="185"/>
      <c r="C988" s="185"/>
      <c r="D988" s="298"/>
      <c r="E988" s="194"/>
    </row>
    <row r="989" spans="1:5" ht="19.5" customHeight="1">
      <c r="A989" s="185"/>
      <c r="B989" s="185"/>
      <c r="C989" s="185"/>
      <c r="D989" s="298"/>
      <c r="E989" s="194"/>
    </row>
    <row r="990" spans="1:5" ht="19.5" customHeight="1">
      <c r="A990" s="185"/>
      <c r="B990" s="185"/>
      <c r="C990" s="185"/>
      <c r="D990" s="298"/>
      <c r="E990" s="194"/>
    </row>
    <row r="991" spans="1:5" ht="19.5" customHeight="1">
      <c r="A991" s="185"/>
      <c r="B991" s="185"/>
      <c r="C991" s="185"/>
      <c r="D991" s="298"/>
      <c r="E991" s="194"/>
    </row>
    <row r="992" spans="1:5" ht="19.5" customHeight="1">
      <c r="A992" s="185"/>
      <c r="B992" s="185"/>
      <c r="C992" s="185"/>
      <c r="D992" s="298"/>
      <c r="E992" s="194"/>
    </row>
    <row r="993" spans="1:5" ht="19.5" customHeight="1">
      <c r="A993" s="185"/>
      <c r="B993" s="185"/>
      <c r="C993" s="185"/>
      <c r="D993" s="298"/>
      <c r="E993" s="194"/>
    </row>
    <row r="994" spans="1:5" ht="19.5" customHeight="1">
      <c r="A994" s="185"/>
      <c r="B994" s="185"/>
      <c r="C994" s="185"/>
      <c r="D994" s="298"/>
      <c r="E994" s="194"/>
    </row>
    <row r="995" spans="1:5" ht="19.5" customHeight="1">
      <c r="A995" s="185"/>
      <c r="B995" s="185"/>
      <c r="C995" s="185"/>
      <c r="D995" s="298"/>
      <c r="E995" s="194"/>
    </row>
    <row r="996" spans="1:5" ht="19.5" customHeight="1">
      <c r="A996" s="185"/>
      <c r="B996" s="185"/>
      <c r="C996" s="185"/>
      <c r="D996" s="298"/>
      <c r="E996" s="194"/>
    </row>
    <row r="997" spans="1:5" ht="19.5" customHeight="1">
      <c r="A997" s="185"/>
      <c r="B997" s="185"/>
      <c r="C997" s="185"/>
      <c r="D997" s="298"/>
      <c r="E997" s="194"/>
    </row>
    <row r="998" spans="1:5" ht="19.5" customHeight="1">
      <c r="A998" s="185"/>
      <c r="B998" s="185"/>
      <c r="C998" s="185"/>
      <c r="D998" s="298"/>
      <c r="E998" s="194"/>
    </row>
    <row r="999" spans="1:5" ht="19.5" customHeight="1">
      <c r="A999" s="185"/>
      <c r="B999" s="185"/>
      <c r="C999" s="185"/>
      <c r="D999" s="298"/>
      <c r="E999" s="194"/>
    </row>
    <row r="1000" spans="1:5" ht="19.5" customHeight="1">
      <c r="A1000" s="185"/>
      <c r="B1000" s="185"/>
      <c r="C1000" s="185"/>
      <c r="D1000" s="298"/>
      <c r="E1000" s="194"/>
    </row>
    <row r="1001" spans="1:5" ht="19.5" customHeight="1">
      <c r="A1001" s="185"/>
      <c r="B1001" s="185"/>
      <c r="C1001" s="185"/>
      <c r="D1001" s="298"/>
      <c r="E1001" s="194"/>
    </row>
    <row r="1002" spans="1:5" ht="19.5" customHeight="1">
      <c r="A1002" s="185"/>
      <c r="B1002" s="185"/>
      <c r="C1002" s="185"/>
      <c r="D1002" s="298"/>
      <c r="E1002" s="194"/>
    </row>
    <row r="1003" spans="1:5" ht="19.5" customHeight="1">
      <c r="A1003" s="185"/>
      <c r="B1003" s="185"/>
      <c r="C1003" s="185"/>
      <c r="D1003" s="298"/>
      <c r="E1003" s="194"/>
    </row>
    <row r="1004" spans="1:5" ht="19.5" customHeight="1">
      <c r="A1004" s="185"/>
      <c r="B1004" s="185"/>
      <c r="C1004" s="185"/>
      <c r="D1004" s="298"/>
      <c r="E1004" s="194"/>
    </row>
    <row r="1005" spans="1:5" ht="19.5" customHeight="1">
      <c r="A1005" s="185"/>
      <c r="B1005" s="185"/>
      <c r="C1005" s="185"/>
      <c r="D1005" s="298"/>
      <c r="E1005" s="194"/>
    </row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</sheetData>
  <sheetProtection password="CF53" sheet="1" formatCells="0" formatColumns="0" formatRows="0" insertColumns="0" insertRows="0" insertHyperlinks="0" deleteColumns="0" deleteRows="0" sort="0" autoFilter="0" pivotTables="0"/>
  <mergeCells count="7">
    <mergeCell ref="F1:G1"/>
    <mergeCell ref="A3:G3"/>
    <mergeCell ref="A7:D7"/>
    <mergeCell ref="A856:D856"/>
    <mergeCell ref="A602:D602"/>
    <mergeCell ref="E164:E165"/>
    <mergeCell ref="F164:F165"/>
  </mergeCells>
  <printOptions horizontalCentered="1"/>
  <pageMargins left="0.7874015748031497" right="0.35433070866141736" top="0.984251968503937" bottom="0.984251968503937" header="0.5118110236220472" footer="0.5118110236220472"/>
  <pageSetup errors="blank" firstPageNumber="12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H322"/>
  <sheetViews>
    <sheetView view="pageBreakPreview" zoomScale="130" zoomScaleSheetLayoutView="130" zoomScalePageLayoutView="0" workbookViewId="0" topLeftCell="A1">
      <pane ySplit="6" topLeftCell="A152" activePane="bottomLeft" state="frozen"/>
      <selection pane="topLeft" activeCell="I244" sqref="I244"/>
      <selection pane="bottomLeft" activeCell="H171" sqref="H171"/>
    </sheetView>
  </sheetViews>
  <sheetFormatPr defaultColWidth="9.00390625" defaultRowHeight="12.75"/>
  <cols>
    <col min="1" max="1" width="5.625" style="301" customWidth="1"/>
    <col min="2" max="2" width="6.375" style="301" customWidth="1"/>
    <col min="3" max="3" width="5.125" style="301" customWidth="1"/>
    <col min="4" max="4" width="40.25390625" style="302" customWidth="1"/>
    <col min="5" max="5" width="12.75390625" style="49" customWidth="1"/>
    <col min="6" max="6" width="13.00390625" style="49" customWidth="1"/>
    <col min="7" max="7" width="9.00390625" style="297" customWidth="1"/>
    <col min="8" max="8" width="9.125" style="49" customWidth="1"/>
    <col min="9" max="9" width="29.875" style="49" customWidth="1"/>
    <col min="10" max="16384" width="9.125" style="49" customWidth="1"/>
  </cols>
  <sheetData>
    <row r="1" spans="1:7" s="2" customFormat="1" ht="12.75">
      <c r="A1" s="7"/>
      <c r="B1" s="7"/>
      <c r="C1" s="7"/>
      <c r="D1" s="8"/>
      <c r="E1" s="8"/>
      <c r="F1" s="1439" t="s">
        <v>211</v>
      </c>
      <c r="G1" s="1439"/>
    </row>
    <row r="2" spans="1:7" s="2" customFormat="1" ht="25.5" customHeight="1">
      <c r="A2" s="7"/>
      <c r="B2" s="7"/>
      <c r="C2" s="7"/>
      <c r="E2" s="8"/>
      <c r="G2" s="9"/>
    </row>
    <row r="3" spans="1:7" s="3" customFormat="1" ht="30.75" customHeight="1">
      <c r="A3" s="1475" t="s">
        <v>1036</v>
      </c>
      <c r="B3" s="1475"/>
      <c r="C3" s="1475"/>
      <c r="D3" s="1475"/>
      <c r="E3" s="1475"/>
      <c r="F3" s="1475"/>
      <c r="G3" s="1475"/>
    </row>
    <row r="4" spans="1:7" s="2" customFormat="1" ht="13.5" thickBot="1">
      <c r="A4" s="7"/>
      <c r="B4" s="7"/>
      <c r="C4" s="7"/>
      <c r="D4" s="8"/>
      <c r="G4" s="9"/>
    </row>
    <row r="5" spans="1:7" s="1" customFormat="1" ht="15" customHeight="1">
      <c r="A5" s="10" t="s">
        <v>122</v>
      </c>
      <c r="B5" s="11" t="s">
        <v>170</v>
      </c>
      <c r="C5" s="11" t="s">
        <v>127</v>
      </c>
      <c r="D5" s="11" t="s">
        <v>171</v>
      </c>
      <c r="E5" s="12" t="s">
        <v>172</v>
      </c>
      <c r="F5" s="6" t="s">
        <v>173</v>
      </c>
      <c r="G5" s="13" t="s">
        <v>174</v>
      </c>
    </row>
    <row r="6" spans="1:7" s="17" customFormat="1" ht="13.5" customHeight="1" thickBot="1">
      <c r="A6" s="14">
        <v>1</v>
      </c>
      <c r="B6" s="15">
        <v>2</v>
      </c>
      <c r="C6" s="15">
        <v>3</v>
      </c>
      <c r="D6" s="15">
        <v>4</v>
      </c>
      <c r="E6" s="5">
        <v>5</v>
      </c>
      <c r="F6" s="4">
        <v>6</v>
      </c>
      <c r="G6" s="16">
        <v>7</v>
      </c>
    </row>
    <row r="7" spans="1:7" s="167" customFormat="1" ht="22.5" customHeight="1">
      <c r="A7" s="1465" t="s">
        <v>1037</v>
      </c>
      <c r="B7" s="1466"/>
      <c r="C7" s="1466"/>
      <c r="D7" s="1467"/>
      <c r="E7" s="164">
        <f>SUM(E8,E14,E28,E39,E51,E63,E71,E74,E82,E86,E90,E104,E114)</f>
        <v>43749696</v>
      </c>
      <c r="F7" s="164">
        <f>SUM(F8,F14,F28,F39,F51,F63,F71,F74,F82,F86,F90,F104,F114)</f>
        <v>24650209.529999997</v>
      </c>
      <c r="G7" s="165">
        <f>F7/E7*100</f>
        <v>56.34372757698705</v>
      </c>
    </row>
    <row r="8" spans="1:7" s="45" customFormat="1" ht="18" customHeight="1">
      <c r="A8" s="18" t="s">
        <v>177</v>
      </c>
      <c r="B8" s="42"/>
      <c r="C8" s="42"/>
      <c r="D8" s="43" t="s">
        <v>128</v>
      </c>
      <c r="E8" s="44">
        <f>SUM(E9)</f>
        <v>40000</v>
      </c>
      <c r="F8" s="44">
        <f>SUM(F9)</f>
        <v>708.3</v>
      </c>
      <c r="G8" s="22">
        <f>F8/E8*100</f>
        <v>1.7707499999999998</v>
      </c>
    </row>
    <row r="9" spans="1:7" ht="21" customHeight="1">
      <c r="A9" s="24"/>
      <c r="B9" s="46" t="s">
        <v>178</v>
      </c>
      <c r="C9" s="46"/>
      <c r="D9" s="47" t="s">
        <v>176</v>
      </c>
      <c r="E9" s="48">
        <f>SUM(E10)</f>
        <v>40000</v>
      </c>
      <c r="F9" s="48">
        <f>SUM(F10)</f>
        <v>708.3</v>
      </c>
      <c r="G9" s="28">
        <f>F9/E9*100</f>
        <v>1.7707499999999998</v>
      </c>
    </row>
    <row r="10" spans="1:7" s="35" customFormat="1" ht="21" customHeight="1">
      <c r="A10" s="30"/>
      <c r="B10" s="31"/>
      <c r="C10" s="31" t="s">
        <v>667</v>
      </c>
      <c r="D10" s="32" t="s">
        <v>666</v>
      </c>
      <c r="E10" s="51">
        <f>6DOCHODY!E18</f>
        <v>40000</v>
      </c>
      <c r="F10" s="51">
        <f>6DOCHODY!F18</f>
        <v>708.3</v>
      </c>
      <c r="G10" s="40">
        <f>F10/E10*100</f>
        <v>1.7707499999999998</v>
      </c>
    </row>
    <row r="11" spans="1:7" s="45" customFormat="1" ht="19.5" customHeight="1" hidden="1">
      <c r="A11" s="18" t="s">
        <v>248</v>
      </c>
      <c r="B11" s="42"/>
      <c r="C11" s="42"/>
      <c r="D11" s="43" t="s">
        <v>704</v>
      </c>
      <c r="E11" s="44">
        <f>E13</f>
        <v>0</v>
      </c>
      <c r="F11" s="44">
        <f>F12</f>
        <v>0</v>
      </c>
      <c r="G11" s="40" t="e">
        <f aca="true" t="shared" si="0" ref="G11:G30">F11/E11*100</f>
        <v>#DIV/0!</v>
      </c>
    </row>
    <row r="12" spans="1:7" ht="21.75" customHeight="1" hidden="1">
      <c r="A12" s="24"/>
      <c r="B12" s="46" t="s">
        <v>684</v>
      </c>
      <c r="C12" s="46"/>
      <c r="D12" s="47" t="s">
        <v>685</v>
      </c>
      <c r="E12" s="53">
        <f>E13</f>
        <v>0</v>
      </c>
      <c r="F12" s="48">
        <f>F13</f>
        <v>0</v>
      </c>
      <c r="G12" s="40" t="e">
        <f t="shared" si="0"/>
        <v>#DIV/0!</v>
      </c>
    </row>
    <row r="13" spans="1:7" s="35" customFormat="1" ht="29.25" customHeight="1" hidden="1">
      <c r="A13" s="30"/>
      <c r="B13" s="31"/>
      <c r="C13" s="31" t="s">
        <v>686</v>
      </c>
      <c r="D13" s="32" t="s">
        <v>326</v>
      </c>
      <c r="E13" s="33">
        <v>0</v>
      </c>
      <c r="F13" s="51"/>
      <c r="G13" s="40" t="e">
        <f t="shared" si="0"/>
        <v>#DIV/0!</v>
      </c>
    </row>
    <row r="14" spans="1:7" ht="19.5" customHeight="1">
      <c r="A14" s="18" t="s">
        <v>263</v>
      </c>
      <c r="B14" s="42"/>
      <c r="C14" s="42"/>
      <c r="D14" s="52" t="s">
        <v>264</v>
      </c>
      <c r="E14" s="56">
        <f>SUM(E15,E23)</f>
        <v>516680</v>
      </c>
      <c r="F14" s="281">
        <f>SUM(F15,F23)</f>
        <v>1627.01</v>
      </c>
      <c r="G14" s="34">
        <f t="shared" si="0"/>
        <v>0.314897034915228</v>
      </c>
    </row>
    <row r="15" spans="1:7" ht="19.5" customHeight="1">
      <c r="A15" s="24"/>
      <c r="B15" s="46" t="s">
        <v>266</v>
      </c>
      <c r="C15" s="46"/>
      <c r="D15" s="26" t="s">
        <v>267</v>
      </c>
      <c r="E15" s="53">
        <f>SUM(E16,E17,E19,E20,E22)</f>
        <v>516680</v>
      </c>
      <c r="F15" s="53">
        <f>SUM(F16,F17,F19,F20,F22)</f>
        <v>1627.01</v>
      </c>
      <c r="G15" s="34">
        <f t="shared" si="0"/>
        <v>0.314897034915228</v>
      </c>
    </row>
    <row r="16" spans="1:7" s="35" customFormat="1" ht="20.25" customHeight="1">
      <c r="A16" s="30"/>
      <c r="B16" s="31"/>
      <c r="C16" s="31" t="s">
        <v>667</v>
      </c>
      <c r="D16" s="32" t="s">
        <v>666</v>
      </c>
      <c r="E16" s="51">
        <f>6DOCHODY!E43</f>
        <v>5000</v>
      </c>
      <c r="F16" s="51">
        <f>6DOCHODY!F43</f>
        <v>1627.01</v>
      </c>
      <c r="G16" s="40">
        <f t="shared" si="0"/>
        <v>32.540200000000006</v>
      </c>
    </row>
    <row r="17" spans="1:7" s="35" customFormat="1" ht="82.5" customHeight="1" hidden="1">
      <c r="A17" s="30"/>
      <c r="B17" s="31"/>
      <c r="C17" s="36" t="s">
        <v>296</v>
      </c>
      <c r="D17" s="68" t="s">
        <v>1397</v>
      </c>
      <c r="E17" s="51">
        <f>6DOCHODY!E48</f>
        <v>0</v>
      </c>
      <c r="F17" s="51">
        <f>6DOCHODY!F48</f>
        <v>0</v>
      </c>
      <c r="G17" s="40" t="e">
        <f>F17/E17*100</f>
        <v>#DIV/0!</v>
      </c>
    </row>
    <row r="18" spans="1:7" s="35" customFormat="1" ht="24.75" customHeight="1" hidden="1">
      <c r="A18" s="30"/>
      <c r="B18" s="31"/>
      <c r="C18" s="36"/>
      <c r="D18" s="68" t="s">
        <v>108</v>
      </c>
      <c r="E18" s="51"/>
      <c r="F18" s="51"/>
      <c r="G18" s="40"/>
    </row>
    <row r="19" spans="1:7" s="35" customFormat="1" ht="66.75" customHeight="1">
      <c r="A19" s="30"/>
      <c r="B19" s="31"/>
      <c r="C19" s="31" t="s">
        <v>436</v>
      </c>
      <c r="D19" s="32" t="s">
        <v>1398</v>
      </c>
      <c r="E19" s="39">
        <f>6DOCHODY!E50</f>
        <v>511680</v>
      </c>
      <c r="F19" s="39">
        <f>6DOCHODY!F50</f>
        <v>0</v>
      </c>
      <c r="G19" s="40">
        <f t="shared" si="0"/>
        <v>0</v>
      </c>
    </row>
    <row r="20" spans="1:7" s="35" customFormat="1" ht="63.75" customHeight="1" hidden="1">
      <c r="A20" s="30"/>
      <c r="B20" s="60"/>
      <c r="C20" s="31" t="s">
        <v>346</v>
      </c>
      <c r="D20" s="32" t="s">
        <v>1398</v>
      </c>
      <c r="E20" s="39">
        <f>6DOCHODY!E51</f>
        <v>0</v>
      </c>
      <c r="F20" s="39">
        <f>6DOCHODY!F51</f>
        <v>0</v>
      </c>
      <c r="G20" s="40" t="e">
        <f t="shared" si="0"/>
        <v>#DIV/0!</v>
      </c>
    </row>
    <row r="21" spans="1:7" s="35" customFormat="1" ht="84" customHeight="1" hidden="1">
      <c r="A21" s="30"/>
      <c r="B21" s="60"/>
      <c r="C21" s="60"/>
      <c r="D21" s="196" t="s">
        <v>1401</v>
      </c>
      <c r="E21" s="39"/>
      <c r="F21" s="39"/>
      <c r="G21" s="40"/>
    </row>
    <row r="22" spans="1:7" s="35" customFormat="1" ht="48" customHeight="1" hidden="1">
      <c r="A22" s="30"/>
      <c r="B22" s="60"/>
      <c r="C22" s="31" t="s">
        <v>431</v>
      </c>
      <c r="D22" s="38" t="s">
        <v>469</v>
      </c>
      <c r="E22" s="39">
        <f>6DOCHODY!E53</f>
        <v>0</v>
      </c>
      <c r="F22" s="39">
        <f>6DOCHODY!F53</f>
        <v>0</v>
      </c>
      <c r="G22" s="40" t="s">
        <v>799</v>
      </c>
    </row>
    <row r="23" spans="1:7" ht="21.75" customHeight="1" hidden="1">
      <c r="A23" s="24"/>
      <c r="B23" s="65" t="s">
        <v>943</v>
      </c>
      <c r="C23" s="46"/>
      <c r="D23" s="26" t="s">
        <v>944</v>
      </c>
      <c r="E23" s="27">
        <f>SUM(E24,E26)</f>
        <v>0</v>
      </c>
      <c r="F23" s="27">
        <f>SUM(F24,F26)</f>
        <v>0</v>
      </c>
      <c r="G23" s="40" t="e">
        <f t="shared" si="0"/>
        <v>#DIV/0!</v>
      </c>
    </row>
    <row r="24" spans="1:7" s="35" customFormat="1" ht="54.75" customHeight="1" hidden="1">
      <c r="A24" s="30"/>
      <c r="B24" s="60"/>
      <c r="C24" s="31" t="s">
        <v>346</v>
      </c>
      <c r="D24" s="32" t="s">
        <v>551</v>
      </c>
      <c r="E24" s="39"/>
      <c r="F24" s="39"/>
      <c r="G24" s="40" t="e">
        <f t="shared" si="0"/>
        <v>#DIV/0!</v>
      </c>
    </row>
    <row r="25" spans="1:7" s="35" customFormat="1" ht="66.75" customHeight="1" hidden="1">
      <c r="A25" s="30"/>
      <c r="B25" s="60"/>
      <c r="C25" s="31"/>
      <c r="D25" s="38" t="s">
        <v>889</v>
      </c>
      <c r="E25" s="39"/>
      <c r="F25" s="39"/>
      <c r="G25" s="40" t="e">
        <f t="shared" si="0"/>
        <v>#DIV/0!</v>
      </c>
    </row>
    <row r="26" spans="1:7" s="35" customFormat="1" ht="54" customHeight="1" hidden="1">
      <c r="A26" s="30"/>
      <c r="B26" s="60"/>
      <c r="C26" s="31" t="s">
        <v>632</v>
      </c>
      <c r="D26" s="32" t="s">
        <v>551</v>
      </c>
      <c r="E26" s="39"/>
      <c r="F26" s="39"/>
      <c r="G26" s="40" t="e">
        <f t="shared" si="0"/>
        <v>#DIV/0!</v>
      </c>
    </row>
    <row r="27" spans="1:7" s="35" customFormat="1" ht="66.75" customHeight="1" hidden="1">
      <c r="A27" s="30"/>
      <c r="B27" s="60"/>
      <c r="C27" s="31"/>
      <c r="D27" s="38" t="s">
        <v>892</v>
      </c>
      <c r="E27" s="39"/>
      <c r="F27" s="39"/>
      <c r="G27" s="40" t="e">
        <f t="shared" si="0"/>
        <v>#DIV/0!</v>
      </c>
    </row>
    <row r="28" spans="1:7" s="45" customFormat="1" ht="15" customHeight="1" hidden="1">
      <c r="A28" s="18" t="s">
        <v>268</v>
      </c>
      <c r="B28" s="42"/>
      <c r="C28" s="42"/>
      <c r="D28" s="52" t="s">
        <v>269</v>
      </c>
      <c r="E28" s="44">
        <f>SUM(E29,E31)</f>
        <v>0</v>
      </c>
      <c r="F28" s="44">
        <f>SUM(F29,F31)</f>
        <v>0</v>
      </c>
      <c r="G28" s="22" t="e">
        <f t="shared" si="0"/>
        <v>#DIV/0!</v>
      </c>
    </row>
    <row r="29" spans="1:7" ht="16.5" customHeight="1" hidden="1">
      <c r="A29" s="24"/>
      <c r="B29" s="46" t="s">
        <v>328</v>
      </c>
      <c r="C29" s="46"/>
      <c r="D29" s="26" t="s">
        <v>329</v>
      </c>
      <c r="E29" s="48">
        <f>SUM(E30)</f>
        <v>0</v>
      </c>
      <c r="F29" s="48">
        <f>SUM(F30)</f>
        <v>0</v>
      </c>
      <c r="G29" s="40" t="e">
        <f t="shared" si="0"/>
        <v>#DIV/0!</v>
      </c>
    </row>
    <row r="30" spans="1:7" ht="21" customHeight="1" hidden="1">
      <c r="A30" s="30"/>
      <c r="B30" s="31"/>
      <c r="C30" s="31" t="s">
        <v>667</v>
      </c>
      <c r="D30" s="32" t="s">
        <v>666</v>
      </c>
      <c r="E30" s="51">
        <f>6DOCHODY!E67</f>
        <v>0</v>
      </c>
      <c r="F30" s="51">
        <f>6DOCHODY!F67</f>
        <v>0</v>
      </c>
      <c r="G30" s="40" t="e">
        <f t="shared" si="0"/>
        <v>#DIV/0!</v>
      </c>
    </row>
    <row r="31" spans="1:7" s="35" customFormat="1" ht="18" customHeight="1" hidden="1">
      <c r="A31" s="24"/>
      <c r="B31" s="46" t="s">
        <v>1097</v>
      </c>
      <c r="C31" s="46"/>
      <c r="D31" s="26" t="s">
        <v>176</v>
      </c>
      <c r="E31" s="48">
        <f>SUM(E32,E33,E35,E37)</f>
        <v>0</v>
      </c>
      <c r="F31" s="48">
        <f>SUM(F32,F33,F35,F37)</f>
        <v>0</v>
      </c>
      <c r="G31" s="28" t="e">
        <f>F31/E31*100</f>
        <v>#DIV/0!</v>
      </c>
    </row>
    <row r="32" spans="1:7" s="35" customFormat="1" ht="29.25" customHeight="1" hidden="1">
      <c r="A32" s="30"/>
      <c r="B32" s="31"/>
      <c r="C32" s="31" t="s">
        <v>681</v>
      </c>
      <c r="D32" s="32" t="s">
        <v>357</v>
      </c>
      <c r="E32" s="51">
        <v>0</v>
      </c>
      <c r="F32" s="51">
        <v>0</v>
      </c>
      <c r="G32" s="28" t="e">
        <f>F32/E32*100</f>
        <v>#DIV/0!</v>
      </c>
    </row>
    <row r="33" spans="1:7" s="35" customFormat="1" ht="72" customHeight="1" hidden="1">
      <c r="A33" s="30"/>
      <c r="B33" s="31"/>
      <c r="C33" s="36" t="s">
        <v>296</v>
      </c>
      <c r="D33" s="68" t="s">
        <v>298</v>
      </c>
      <c r="E33" s="51">
        <f>6DOCHODY!E75</f>
        <v>0</v>
      </c>
      <c r="F33" s="51">
        <f>6DOCHODY!F75</f>
        <v>0</v>
      </c>
      <c r="G33" s="28" t="e">
        <f>F33/E33*100</f>
        <v>#DIV/0!</v>
      </c>
    </row>
    <row r="34" spans="1:7" s="35" customFormat="1" ht="30" customHeight="1" hidden="1">
      <c r="A34" s="30"/>
      <c r="B34" s="31"/>
      <c r="C34" s="36"/>
      <c r="D34" s="38" t="s">
        <v>108</v>
      </c>
      <c r="E34" s="51"/>
      <c r="F34" s="51"/>
      <c r="G34" s="28"/>
    </row>
    <row r="35" spans="1:7" s="35" customFormat="1" ht="69.75" customHeight="1" hidden="1">
      <c r="A35" s="30"/>
      <c r="B35" s="31"/>
      <c r="C35" s="36" t="s">
        <v>297</v>
      </c>
      <c r="D35" s="68" t="s">
        <v>298</v>
      </c>
      <c r="E35" s="51">
        <f>6DOCHODY!E77</f>
        <v>0</v>
      </c>
      <c r="F35" s="51">
        <f>6DOCHODY!F77</f>
        <v>0</v>
      </c>
      <c r="G35" s="40" t="e">
        <f>F35/E35*100</f>
        <v>#DIV/0!</v>
      </c>
    </row>
    <row r="36" spans="1:7" s="35" customFormat="1" ht="78" customHeight="1" hidden="1">
      <c r="A36" s="30"/>
      <c r="B36" s="31"/>
      <c r="C36" s="36"/>
      <c r="D36" s="38" t="s">
        <v>271</v>
      </c>
      <c r="E36" s="51"/>
      <c r="F36" s="51"/>
      <c r="G36" s="22"/>
    </row>
    <row r="37" spans="1:7" s="35" customFormat="1" ht="51.75" customHeight="1" hidden="1">
      <c r="A37" s="30"/>
      <c r="B37" s="31"/>
      <c r="C37" s="31" t="s">
        <v>346</v>
      </c>
      <c r="D37" s="32" t="s">
        <v>551</v>
      </c>
      <c r="E37" s="51">
        <f>6DOCHODY!E79</f>
        <v>0</v>
      </c>
      <c r="F37" s="51">
        <f>6DOCHODY!F79</f>
        <v>0</v>
      </c>
      <c r="G37" s="22" t="e">
        <f>F37/E37*100</f>
        <v>#DIV/0!</v>
      </c>
    </row>
    <row r="38" spans="1:7" s="35" customFormat="1" ht="81" customHeight="1" hidden="1">
      <c r="A38" s="30"/>
      <c r="B38" s="31"/>
      <c r="C38" s="31"/>
      <c r="D38" s="38" t="s">
        <v>552</v>
      </c>
      <c r="E38" s="51"/>
      <c r="F38" s="51"/>
      <c r="G38" s="22" t="e">
        <f>F38/E38*100</f>
        <v>#DIV/0!</v>
      </c>
    </row>
    <row r="39" spans="1:7" s="45" customFormat="1" ht="21" customHeight="1">
      <c r="A39" s="18" t="s">
        <v>270</v>
      </c>
      <c r="B39" s="42"/>
      <c r="C39" s="42"/>
      <c r="D39" s="43" t="s">
        <v>216</v>
      </c>
      <c r="E39" s="44">
        <f>SUM(E40,E45,E49)</f>
        <v>35065787</v>
      </c>
      <c r="F39" s="44">
        <f>SUM(F40,F45,F49)</f>
        <v>25237726.2</v>
      </c>
      <c r="G39" s="22">
        <f>F39/E39*100</f>
        <v>71.97250756128759</v>
      </c>
    </row>
    <row r="40" spans="1:7" s="45" customFormat="1" ht="21" customHeight="1" hidden="1">
      <c r="A40" s="18"/>
      <c r="B40" s="46" t="s">
        <v>1099</v>
      </c>
      <c r="C40" s="46"/>
      <c r="D40" s="47" t="s">
        <v>1101</v>
      </c>
      <c r="E40" s="48">
        <f>SUM(E41,E43)</f>
        <v>0</v>
      </c>
      <c r="F40" s="48">
        <f>SUM(F41,F43)</f>
        <v>0</v>
      </c>
      <c r="G40" s="28" t="e">
        <f>F40/E40*100</f>
        <v>#DIV/0!</v>
      </c>
    </row>
    <row r="41" spans="1:7" s="45" customFormat="1" ht="69" customHeight="1" hidden="1">
      <c r="A41" s="18"/>
      <c r="B41" s="42"/>
      <c r="C41" s="63" t="s">
        <v>296</v>
      </c>
      <c r="D41" s="68" t="s">
        <v>298</v>
      </c>
      <c r="E41" s="51">
        <f>6DOCHODY!E86</f>
        <v>0</v>
      </c>
      <c r="F41" s="51">
        <f>6DOCHODY!F86</f>
        <v>0</v>
      </c>
      <c r="G41" s="40" t="e">
        <f>F41/E41*100</f>
        <v>#DIV/0!</v>
      </c>
    </row>
    <row r="42" spans="1:7" s="45" customFormat="1" ht="27.75" customHeight="1" hidden="1">
      <c r="A42" s="18"/>
      <c r="B42" s="42"/>
      <c r="C42" s="55"/>
      <c r="D42" s="38" t="s">
        <v>108</v>
      </c>
      <c r="E42" s="51"/>
      <c r="F42" s="51"/>
      <c r="G42" s="40"/>
    </row>
    <row r="43" spans="1:7" s="45" customFormat="1" ht="68.25" customHeight="1" hidden="1">
      <c r="A43" s="18"/>
      <c r="B43" s="42"/>
      <c r="C43" s="31" t="s">
        <v>310</v>
      </c>
      <c r="D43" s="68" t="s">
        <v>298</v>
      </c>
      <c r="E43" s="51">
        <v>0</v>
      </c>
      <c r="F43" s="51">
        <v>0</v>
      </c>
      <c r="G43" s="40" t="e">
        <f>F43/E43*100</f>
        <v>#DIV/0!</v>
      </c>
    </row>
    <row r="44" spans="1:7" s="45" customFormat="1" ht="82.5" customHeight="1" hidden="1">
      <c r="A44" s="18"/>
      <c r="B44" s="42"/>
      <c r="C44" s="31"/>
      <c r="D44" s="38" t="s">
        <v>552</v>
      </c>
      <c r="E44" s="51"/>
      <c r="F44" s="51"/>
      <c r="G44" s="40"/>
    </row>
    <row r="45" spans="1:7" ht="21" customHeight="1">
      <c r="A45" s="30"/>
      <c r="B45" s="46" t="s">
        <v>217</v>
      </c>
      <c r="C45" s="46"/>
      <c r="D45" s="47" t="s">
        <v>218</v>
      </c>
      <c r="E45" s="48">
        <f>SUM(E46,E47)</f>
        <v>35065787</v>
      </c>
      <c r="F45" s="48">
        <f>SUM(F46,F47)</f>
        <v>25237726.2</v>
      </c>
      <c r="G45" s="28">
        <f>F45/E45*100</f>
        <v>71.97250756128759</v>
      </c>
    </row>
    <row r="46" spans="1:7" s="35" customFormat="1" ht="42" customHeight="1">
      <c r="A46" s="30"/>
      <c r="B46" s="31"/>
      <c r="C46" s="31" t="s">
        <v>689</v>
      </c>
      <c r="D46" s="32" t="s">
        <v>774</v>
      </c>
      <c r="E46" s="51">
        <f>6DOCHODY!E98</f>
        <v>500000</v>
      </c>
      <c r="F46" s="51">
        <f>6DOCHODY!F98</f>
        <v>403629.72</v>
      </c>
      <c r="G46" s="40">
        <f>F46/E46*100</f>
        <v>80.725944</v>
      </c>
    </row>
    <row r="47" spans="1:7" s="69" customFormat="1" ht="39" customHeight="1">
      <c r="A47" s="30"/>
      <c r="B47" s="31"/>
      <c r="C47" s="31" t="s">
        <v>690</v>
      </c>
      <c r="D47" s="32" t="s">
        <v>553</v>
      </c>
      <c r="E47" s="51">
        <f>6DOCHODY!E99</f>
        <v>34565787</v>
      </c>
      <c r="F47" s="51">
        <f>6DOCHODY!F99</f>
        <v>24834096.48</v>
      </c>
      <c r="G47" s="40">
        <f>F47/E47*100</f>
        <v>71.84588761135396</v>
      </c>
    </row>
    <row r="48" spans="1:7" s="35" customFormat="1" ht="14.25" customHeight="1" hidden="1">
      <c r="A48" s="62"/>
      <c r="B48" s="63"/>
      <c r="C48" s="37">
        <v>6290</v>
      </c>
      <c r="D48" s="32" t="s">
        <v>551</v>
      </c>
      <c r="E48" s="64">
        <v>0</v>
      </c>
      <c r="F48" s="64">
        <v>0</v>
      </c>
      <c r="G48" s="40" t="e">
        <f aca="true" t="shared" si="1" ref="G48:G63">F48/E48*100</f>
        <v>#DIV/0!</v>
      </c>
    </row>
    <row r="49" spans="1:8" s="35" customFormat="1" ht="21" customHeight="1" hidden="1">
      <c r="A49" s="70"/>
      <c r="B49" s="161" t="s">
        <v>1102</v>
      </c>
      <c r="C49" s="161"/>
      <c r="D49" s="162" t="s">
        <v>176</v>
      </c>
      <c r="E49" s="59">
        <f>E50</f>
        <v>0</v>
      </c>
      <c r="F49" s="59">
        <f>F50</f>
        <v>0</v>
      </c>
      <c r="G49" s="40" t="e">
        <f t="shared" si="1"/>
        <v>#DIV/0!</v>
      </c>
      <c r="H49" s="49"/>
    </row>
    <row r="50" spans="1:7" s="35" customFormat="1" ht="54" customHeight="1" hidden="1">
      <c r="A50" s="62"/>
      <c r="B50" s="63"/>
      <c r="C50" s="37">
        <v>6290</v>
      </c>
      <c r="D50" s="32" t="s">
        <v>551</v>
      </c>
      <c r="E50" s="64">
        <f>6DOCHODY!E110</f>
        <v>0</v>
      </c>
      <c r="F50" s="64">
        <f>6DOCHODY!F110</f>
        <v>0</v>
      </c>
      <c r="G50" s="40" t="e">
        <f t="shared" si="1"/>
        <v>#DIV/0!</v>
      </c>
    </row>
    <row r="51" spans="1:7" s="35" customFormat="1" ht="24" customHeight="1">
      <c r="A51" s="76" t="s">
        <v>644</v>
      </c>
      <c r="B51" s="77"/>
      <c r="C51" s="77"/>
      <c r="D51" s="78" t="s">
        <v>645</v>
      </c>
      <c r="E51" s="57">
        <f>SUM(E52,E58)</f>
        <v>6214365</v>
      </c>
      <c r="F51" s="57">
        <f>SUM(F52,F58)</f>
        <v>0</v>
      </c>
      <c r="G51" s="40">
        <f t="shared" si="1"/>
        <v>0</v>
      </c>
    </row>
    <row r="52" spans="1:8" s="35" customFormat="1" ht="21" customHeight="1">
      <c r="A52" s="70"/>
      <c r="B52" s="161" t="s">
        <v>1</v>
      </c>
      <c r="C52" s="161"/>
      <c r="D52" s="162" t="s">
        <v>315</v>
      </c>
      <c r="E52" s="59">
        <f>SUM(E53,E54,E56)</f>
        <v>1082900</v>
      </c>
      <c r="F52" s="59">
        <f>SUM(F53,F54,F56)</f>
        <v>0</v>
      </c>
      <c r="G52" s="40">
        <f t="shared" si="1"/>
        <v>0</v>
      </c>
      <c r="H52" s="49"/>
    </row>
    <row r="53" spans="1:7" s="35" customFormat="1" ht="22.5" customHeight="1" hidden="1">
      <c r="A53" s="62"/>
      <c r="B53" s="63"/>
      <c r="C53" s="55" t="s">
        <v>667</v>
      </c>
      <c r="D53" s="38" t="s">
        <v>666</v>
      </c>
      <c r="E53" s="64">
        <f>6DOCHODY!E133</f>
        <v>0</v>
      </c>
      <c r="F53" s="64">
        <f>6DOCHODY!F133</f>
        <v>0</v>
      </c>
      <c r="G53" s="40" t="e">
        <f t="shared" si="1"/>
        <v>#DIV/0!</v>
      </c>
    </row>
    <row r="54" spans="1:7" s="35" customFormat="1" ht="83.25" customHeight="1">
      <c r="A54" s="62"/>
      <c r="B54" s="63"/>
      <c r="C54" s="63" t="s">
        <v>310</v>
      </c>
      <c r="D54" s="68" t="s">
        <v>1378</v>
      </c>
      <c r="E54" s="64">
        <f>6DOCHODY!E141</f>
        <v>1027650</v>
      </c>
      <c r="F54" s="64">
        <f>6DOCHODY!F141</f>
        <v>0</v>
      </c>
      <c r="G54" s="40">
        <f t="shared" si="1"/>
        <v>0</v>
      </c>
    </row>
    <row r="55" spans="1:7" s="35" customFormat="1" ht="81" customHeight="1">
      <c r="A55" s="62"/>
      <c r="B55" s="63"/>
      <c r="C55" s="55"/>
      <c r="D55" s="196" t="s">
        <v>1401</v>
      </c>
      <c r="E55" s="64"/>
      <c r="F55" s="64"/>
      <c r="G55" s="40"/>
    </row>
    <row r="56" spans="1:8" s="35" customFormat="1" ht="72" customHeight="1">
      <c r="A56" s="62"/>
      <c r="B56" s="63"/>
      <c r="C56" s="55" t="s">
        <v>299</v>
      </c>
      <c r="D56" s="32" t="s">
        <v>1398</v>
      </c>
      <c r="E56" s="64">
        <f>6DOCHODY!E143</f>
        <v>55250</v>
      </c>
      <c r="F56" s="64">
        <f>6DOCHODY!F143</f>
        <v>0</v>
      </c>
      <c r="G56" s="40">
        <f>F56/E56*100</f>
        <v>0</v>
      </c>
      <c r="H56" s="155"/>
    </row>
    <row r="57" spans="1:8" s="35" customFormat="1" ht="27" customHeight="1">
      <c r="A57" s="62"/>
      <c r="B57" s="63"/>
      <c r="C57" s="55"/>
      <c r="D57" s="68" t="s">
        <v>108</v>
      </c>
      <c r="E57" s="64"/>
      <c r="F57" s="64"/>
      <c r="G57" s="40"/>
      <c r="H57" s="155"/>
    </row>
    <row r="58" spans="1:7" ht="19.5" customHeight="1">
      <c r="A58" s="70"/>
      <c r="B58" s="71" t="s">
        <v>3</v>
      </c>
      <c r="C58" s="169"/>
      <c r="D58" s="73" t="s">
        <v>176</v>
      </c>
      <c r="E58" s="59">
        <f>SUM(E59,E61,E62)</f>
        <v>5131465</v>
      </c>
      <c r="F58" s="59">
        <f>SUM(F59,F61,F62)</f>
        <v>0</v>
      </c>
      <c r="G58" s="40">
        <f t="shared" si="1"/>
        <v>0</v>
      </c>
    </row>
    <row r="59" spans="1:7" s="35" customFormat="1" ht="79.5" customHeight="1">
      <c r="A59" s="62"/>
      <c r="B59" s="63"/>
      <c r="C59" s="55" t="s">
        <v>296</v>
      </c>
      <c r="D59" s="68" t="s">
        <v>1378</v>
      </c>
      <c r="E59" s="64">
        <f>6DOCHODY!E166</f>
        <v>4765065</v>
      </c>
      <c r="F59" s="64">
        <f>6DOCHODY!F166</f>
        <v>0</v>
      </c>
      <c r="G59" s="40">
        <f t="shared" si="1"/>
        <v>0</v>
      </c>
    </row>
    <row r="60" spans="1:7" s="35" customFormat="1" ht="30.75" customHeight="1">
      <c r="A60" s="62"/>
      <c r="B60" s="63"/>
      <c r="C60" s="55"/>
      <c r="D60" s="68" t="s">
        <v>108</v>
      </c>
      <c r="E60" s="64"/>
      <c r="F60" s="64"/>
      <c r="G60" s="40" t="e">
        <f t="shared" si="1"/>
        <v>#DIV/0!</v>
      </c>
    </row>
    <row r="61" spans="1:8" s="35" customFormat="1" ht="80.25" customHeight="1">
      <c r="A61" s="62"/>
      <c r="B61" s="63"/>
      <c r="C61" s="55" t="s">
        <v>1180</v>
      </c>
      <c r="D61" s="68" t="s">
        <v>1181</v>
      </c>
      <c r="E61" s="64">
        <f>6DOCHODY!E168</f>
        <v>366400</v>
      </c>
      <c r="F61" s="64">
        <f>6DOCHODY!F168</f>
        <v>0</v>
      </c>
      <c r="G61" s="168">
        <f t="shared" si="1"/>
        <v>0</v>
      </c>
      <c r="H61" s="155"/>
    </row>
    <row r="62" spans="1:7" s="35" customFormat="1" ht="54.75" customHeight="1" hidden="1">
      <c r="A62" s="62"/>
      <c r="B62" s="63"/>
      <c r="C62" s="55" t="s">
        <v>436</v>
      </c>
      <c r="D62" s="32" t="s">
        <v>551</v>
      </c>
      <c r="E62" s="64"/>
      <c r="F62" s="64"/>
      <c r="G62" s="40" t="e">
        <f t="shared" si="1"/>
        <v>#DIV/0!</v>
      </c>
    </row>
    <row r="63" spans="1:7" ht="33.75" customHeight="1" hidden="1">
      <c r="A63" s="76" t="s">
        <v>5</v>
      </c>
      <c r="B63" s="77"/>
      <c r="C63" s="77"/>
      <c r="D63" s="174" t="s">
        <v>84</v>
      </c>
      <c r="E63" s="57">
        <f>E64</f>
        <v>0</v>
      </c>
      <c r="F63" s="57">
        <f>F64</f>
        <v>0</v>
      </c>
      <c r="G63" s="22" t="e">
        <f t="shared" si="1"/>
        <v>#DIV/0!</v>
      </c>
    </row>
    <row r="64" spans="1:7" ht="21" customHeight="1" hidden="1">
      <c r="A64" s="70"/>
      <c r="B64" s="161" t="s">
        <v>1110</v>
      </c>
      <c r="C64" s="161"/>
      <c r="D64" s="162" t="s">
        <v>1111</v>
      </c>
      <c r="E64" s="59">
        <f>SUM(E65,E66,E68,E69)</f>
        <v>0</v>
      </c>
      <c r="F64" s="59">
        <f>SUM(F65,F66,F68,F69)</f>
        <v>0</v>
      </c>
      <c r="G64" s="28" t="e">
        <f>F64/E64*100</f>
        <v>#DIV/0!</v>
      </c>
    </row>
    <row r="65" spans="1:7" ht="21" customHeight="1" hidden="1">
      <c r="A65" s="70"/>
      <c r="B65" s="161"/>
      <c r="C65" s="31" t="s">
        <v>667</v>
      </c>
      <c r="D65" s="32" t="s">
        <v>666</v>
      </c>
      <c r="E65" s="64">
        <f>6DOCHODY!E184</f>
        <v>0</v>
      </c>
      <c r="F65" s="64">
        <f>6DOCHODY!F184</f>
        <v>0</v>
      </c>
      <c r="G65" s="40" t="e">
        <f>F65/E65*100</f>
        <v>#DIV/0!</v>
      </c>
    </row>
    <row r="66" spans="1:7" s="35" customFormat="1" ht="81" customHeight="1" hidden="1">
      <c r="A66" s="175"/>
      <c r="B66" s="176"/>
      <c r="C66" s="63" t="s">
        <v>296</v>
      </c>
      <c r="D66" s="68" t="s">
        <v>1378</v>
      </c>
      <c r="E66" s="64">
        <f>6DOCHODY!E190</f>
        <v>0</v>
      </c>
      <c r="F66" s="64">
        <f>6DOCHODY!F190</f>
        <v>0</v>
      </c>
      <c r="G66" s="40" t="e">
        <f>F66/E66*100</f>
        <v>#DIV/0!</v>
      </c>
    </row>
    <row r="67" spans="1:7" s="35" customFormat="1" ht="27" customHeight="1" hidden="1">
      <c r="A67" s="175"/>
      <c r="B67" s="176"/>
      <c r="C67" s="63"/>
      <c r="D67" s="38" t="s">
        <v>108</v>
      </c>
      <c r="E67" s="64"/>
      <c r="F67" s="64"/>
      <c r="G67" s="40"/>
    </row>
    <row r="68" spans="1:7" s="35" customFormat="1" ht="54" customHeight="1" hidden="1">
      <c r="A68" s="175"/>
      <c r="B68" s="176"/>
      <c r="C68" s="63" t="s">
        <v>436</v>
      </c>
      <c r="D68" s="32" t="s">
        <v>551</v>
      </c>
      <c r="E68" s="64">
        <f>6DOCHODY!E192</f>
        <v>0</v>
      </c>
      <c r="F68" s="64">
        <f>6DOCHODY!F192</f>
        <v>0</v>
      </c>
      <c r="G68" s="40" t="e">
        <f>F68/E68*100</f>
        <v>#DIV/0!</v>
      </c>
    </row>
    <row r="69" spans="1:7" s="35" customFormat="1" ht="56.25" customHeight="1" hidden="1">
      <c r="A69" s="175"/>
      <c r="B69" s="176"/>
      <c r="C69" s="63" t="s">
        <v>346</v>
      </c>
      <c r="D69" s="32" t="s">
        <v>551</v>
      </c>
      <c r="E69" s="64">
        <f>6DOCHODY!E195</f>
        <v>0</v>
      </c>
      <c r="F69" s="64">
        <f>6DOCHODY!F195</f>
        <v>0</v>
      </c>
      <c r="G69" s="40" t="e">
        <f>F69/E69*100</f>
        <v>#DIV/0!</v>
      </c>
    </row>
    <row r="70" spans="1:7" s="35" customFormat="1" ht="67.5" customHeight="1" hidden="1">
      <c r="A70" s="175"/>
      <c r="B70" s="176"/>
      <c r="C70" s="158"/>
      <c r="D70" s="196" t="s">
        <v>1272</v>
      </c>
      <c r="E70" s="64"/>
      <c r="F70" s="64"/>
      <c r="G70" s="40"/>
    </row>
    <row r="71" spans="1:7" s="45" customFormat="1" ht="19.5" customHeight="1" hidden="1">
      <c r="A71" s="76" t="s">
        <v>10</v>
      </c>
      <c r="B71" s="77"/>
      <c r="C71" s="77"/>
      <c r="D71" s="78" t="s">
        <v>11</v>
      </c>
      <c r="E71" s="57">
        <f>SUM(E72)</f>
        <v>0</v>
      </c>
      <c r="F71" s="57">
        <f>SUM(F72)</f>
        <v>0</v>
      </c>
      <c r="G71" s="22" t="e">
        <f aca="true" t="shared" si="2" ref="G71:G76">F71/E71*100</f>
        <v>#DIV/0!</v>
      </c>
    </row>
    <row r="72" spans="1:7" ht="19.5" customHeight="1" hidden="1">
      <c r="A72" s="70"/>
      <c r="B72" s="71" t="s">
        <v>807</v>
      </c>
      <c r="C72" s="71"/>
      <c r="D72" s="75" t="s">
        <v>808</v>
      </c>
      <c r="E72" s="59">
        <f>SUM(E73)</f>
        <v>0</v>
      </c>
      <c r="F72" s="59">
        <f>SUM(F73)</f>
        <v>0</v>
      </c>
      <c r="G72" s="28" t="e">
        <f t="shared" si="2"/>
        <v>#DIV/0!</v>
      </c>
    </row>
    <row r="73" spans="1:7" s="35" customFormat="1" ht="42.75" customHeight="1" hidden="1">
      <c r="A73" s="62"/>
      <c r="B73" s="63"/>
      <c r="C73" s="55" t="s">
        <v>1035</v>
      </c>
      <c r="D73" s="38" t="s">
        <v>1027</v>
      </c>
      <c r="E73" s="64">
        <f>6DOCHODY!E279</f>
        <v>0</v>
      </c>
      <c r="F73" s="64">
        <f>6DOCHODY!F279</f>
        <v>0</v>
      </c>
      <c r="G73" s="40" t="e">
        <f t="shared" si="2"/>
        <v>#DIV/0!</v>
      </c>
    </row>
    <row r="74" spans="1:7" s="45" customFormat="1" ht="18.75" customHeight="1">
      <c r="A74" s="76" t="s">
        <v>12</v>
      </c>
      <c r="B74" s="77"/>
      <c r="C74" s="77"/>
      <c r="D74" s="78" t="s">
        <v>13</v>
      </c>
      <c r="E74" s="57">
        <f>SUM(E75)</f>
        <v>0</v>
      </c>
      <c r="F74" s="57">
        <f>SUM(F75)</f>
        <v>-600000</v>
      </c>
      <c r="G74" s="22" t="e">
        <f t="shared" si="2"/>
        <v>#DIV/0!</v>
      </c>
    </row>
    <row r="75" spans="1:7" ht="18.75" customHeight="1">
      <c r="A75" s="70"/>
      <c r="B75" s="71" t="s">
        <v>14</v>
      </c>
      <c r="C75" s="71"/>
      <c r="D75" s="75" t="s">
        <v>15</v>
      </c>
      <c r="E75" s="59">
        <f>SUM(E76,E78,E79,E81)</f>
        <v>0</v>
      </c>
      <c r="F75" s="59">
        <f>SUM(F76,F78,F79,F81)</f>
        <v>-600000</v>
      </c>
      <c r="G75" s="28" t="e">
        <f t="shared" si="2"/>
        <v>#DIV/0!</v>
      </c>
    </row>
    <row r="76" spans="1:7" s="35" customFormat="1" ht="69.75" customHeight="1" hidden="1">
      <c r="A76" s="62"/>
      <c r="B76" s="63"/>
      <c r="C76" s="63" t="s">
        <v>296</v>
      </c>
      <c r="D76" s="68" t="s">
        <v>298</v>
      </c>
      <c r="E76" s="64">
        <f>6DOCHODY!E288</f>
        <v>0</v>
      </c>
      <c r="F76" s="64">
        <f>6DOCHODY!F288</f>
        <v>0</v>
      </c>
      <c r="G76" s="40" t="e">
        <f t="shared" si="2"/>
        <v>#DIV/0!</v>
      </c>
    </row>
    <row r="77" spans="1:7" s="35" customFormat="1" ht="30.75" customHeight="1" hidden="1">
      <c r="A77" s="62"/>
      <c r="B77" s="63"/>
      <c r="C77" s="63"/>
      <c r="D77" s="68" t="s">
        <v>108</v>
      </c>
      <c r="E77" s="64"/>
      <c r="F77" s="64"/>
      <c r="G77" s="40"/>
    </row>
    <row r="78" spans="1:7" s="35" customFormat="1" ht="83.25" customHeight="1">
      <c r="A78" s="62"/>
      <c r="B78" s="63"/>
      <c r="C78" s="63" t="s">
        <v>1180</v>
      </c>
      <c r="D78" s="68" t="s">
        <v>1181</v>
      </c>
      <c r="E78" s="64">
        <f>6DOCHODY!E290</f>
        <v>0</v>
      </c>
      <c r="F78" s="64">
        <f>6DOCHODY!F290</f>
        <v>-600000</v>
      </c>
      <c r="G78" s="168" t="e">
        <f>F78/E78*100</f>
        <v>#DIV/0!</v>
      </c>
    </row>
    <row r="79" spans="1:7" s="35" customFormat="1" ht="52.5" customHeight="1" hidden="1">
      <c r="A79" s="62"/>
      <c r="B79" s="63"/>
      <c r="C79" s="63" t="s">
        <v>346</v>
      </c>
      <c r="D79" s="32" t="s">
        <v>551</v>
      </c>
      <c r="E79" s="64">
        <f>6DOCHODY!E291</f>
        <v>0</v>
      </c>
      <c r="F79" s="64">
        <f>6DOCHODY!F291</f>
        <v>0</v>
      </c>
      <c r="G79" s="40" t="e">
        <f>F79/E79*100</f>
        <v>#DIV/0!</v>
      </c>
    </row>
    <row r="80" spans="1:7" s="35" customFormat="1" ht="68.25" customHeight="1" hidden="1">
      <c r="A80" s="62"/>
      <c r="B80" s="63"/>
      <c r="C80" s="158"/>
      <c r="D80" s="196" t="s">
        <v>1272</v>
      </c>
      <c r="E80" s="64"/>
      <c r="F80" s="64"/>
      <c r="G80" s="40"/>
    </row>
    <row r="81" spans="1:7" s="35" customFormat="1" ht="47.25" customHeight="1" hidden="1">
      <c r="A81" s="62"/>
      <c r="B81" s="63"/>
      <c r="C81" s="55" t="s">
        <v>431</v>
      </c>
      <c r="D81" s="38" t="s">
        <v>469</v>
      </c>
      <c r="E81" s="64">
        <f>6DOCHODY!E293</f>
        <v>0</v>
      </c>
      <c r="F81" s="64">
        <f>6DOCHODY!F293</f>
        <v>0</v>
      </c>
      <c r="G81" s="40" t="e">
        <f>F81/E81*100</f>
        <v>#DIV/0!</v>
      </c>
    </row>
    <row r="82" spans="1:7" s="35" customFormat="1" ht="21" customHeight="1" hidden="1">
      <c r="A82" s="76" t="s">
        <v>21</v>
      </c>
      <c r="B82" s="77"/>
      <c r="C82" s="74"/>
      <c r="D82" s="78" t="s">
        <v>22</v>
      </c>
      <c r="E82" s="57">
        <f>SUM(E83)</f>
        <v>0</v>
      </c>
      <c r="F82" s="57">
        <f>SUM(F83)</f>
        <v>0</v>
      </c>
      <c r="G82" s="22" t="e">
        <f aca="true" t="shared" si="3" ref="G82:G88">F82/E82*100</f>
        <v>#DIV/0!</v>
      </c>
    </row>
    <row r="83" spans="1:7" s="35" customFormat="1" ht="23.25" customHeight="1" hidden="1">
      <c r="A83" s="62"/>
      <c r="B83" s="161" t="s">
        <v>23</v>
      </c>
      <c r="C83" s="184"/>
      <c r="D83" s="162" t="s">
        <v>24</v>
      </c>
      <c r="E83" s="59">
        <f>SUM(E84)</f>
        <v>0</v>
      </c>
      <c r="F83" s="59">
        <f>SUM(F84)</f>
        <v>0</v>
      </c>
      <c r="G83" s="28" t="e">
        <f t="shared" si="3"/>
        <v>#DIV/0!</v>
      </c>
    </row>
    <row r="84" spans="1:7" s="35" customFormat="1" ht="54.75" customHeight="1" hidden="1">
      <c r="A84" s="62"/>
      <c r="B84" s="63"/>
      <c r="C84" s="158" t="s">
        <v>346</v>
      </c>
      <c r="D84" s="32" t="s">
        <v>551</v>
      </c>
      <c r="E84" s="64">
        <f>6DOCHODY!E345</f>
        <v>0</v>
      </c>
      <c r="F84" s="64">
        <f>6DOCHODY!F345</f>
        <v>0</v>
      </c>
      <c r="G84" s="40" t="e">
        <f t="shared" si="3"/>
        <v>#DIV/0!</v>
      </c>
    </row>
    <row r="85" spans="1:7" s="35" customFormat="1" ht="78.75" customHeight="1" hidden="1">
      <c r="A85" s="62"/>
      <c r="B85" s="63"/>
      <c r="C85" s="158"/>
      <c r="D85" s="38" t="s">
        <v>552</v>
      </c>
      <c r="E85" s="64"/>
      <c r="F85" s="64"/>
      <c r="G85" s="40"/>
    </row>
    <row r="86" spans="1:7" s="35" customFormat="1" ht="33" customHeight="1" hidden="1">
      <c r="A86" s="76" t="s">
        <v>25</v>
      </c>
      <c r="B86" s="77"/>
      <c r="C86" s="195"/>
      <c r="D86" s="174" t="s">
        <v>710</v>
      </c>
      <c r="E86" s="57">
        <f>SUM(E87)</f>
        <v>0</v>
      </c>
      <c r="F86" s="57">
        <f>SUM(F87)</f>
        <v>0</v>
      </c>
      <c r="G86" s="22" t="e">
        <f t="shared" si="3"/>
        <v>#DIV/0!</v>
      </c>
    </row>
    <row r="87" spans="1:7" s="35" customFormat="1" ht="26.25" customHeight="1" hidden="1">
      <c r="A87" s="62"/>
      <c r="B87" s="71" t="s">
        <v>714</v>
      </c>
      <c r="C87" s="169"/>
      <c r="D87" s="26" t="s">
        <v>176</v>
      </c>
      <c r="E87" s="64">
        <f>SUM(E88)</f>
        <v>0</v>
      </c>
      <c r="F87" s="64">
        <f>SUM(F88)</f>
        <v>0</v>
      </c>
      <c r="G87" s="28" t="e">
        <f t="shared" si="3"/>
        <v>#DIV/0!</v>
      </c>
    </row>
    <row r="88" spans="1:7" s="35" customFormat="1" ht="54" customHeight="1" hidden="1">
      <c r="A88" s="62"/>
      <c r="B88" s="63"/>
      <c r="C88" s="158" t="s">
        <v>346</v>
      </c>
      <c r="D88" s="32" t="s">
        <v>551</v>
      </c>
      <c r="E88" s="64">
        <f>6DOCHODY!E452</f>
        <v>0</v>
      </c>
      <c r="F88" s="64">
        <f>6DOCHODY!F452</f>
        <v>0</v>
      </c>
      <c r="G88" s="40" t="e">
        <f t="shared" si="3"/>
        <v>#DIV/0!</v>
      </c>
    </row>
    <row r="89" spans="1:7" s="35" customFormat="1" ht="76.5" customHeight="1" hidden="1">
      <c r="A89" s="62"/>
      <c r="B89" s="63"/>
      <c r="C89" s="158"/>
      <c r="D89" s="38" t="s">
        <v>552</v>
      </c>
      <c r="E89" s="64"/>
      <c r="F89" s="64"/>
      <c r="G89" s="40"/>
    </row>
    <row r="90" spans="1:7" s="35" customFormat="1" ht="29.25" customHeight="1">
      <c r="A90" s="76" t="s">
        <v>89</v>
      </c>
      <c r="B90" s="77"/>
      <c r="C90" s="77"/>
      <c r="D90" s="174" t="s">
        <v>812</v>
      </c>
      <c r="E90" s="57">
        <f>SUM(E91,E94,E99)</f>
        <v>808877</v>
      </c>
      <c r="F90" s="57">
        <f>SUM(F91,F94,F99)</f>
        <v>10148.02</v>
      </c>
      <c r="G90" s="22">
        <f>F90/E90*100</f>
        <v>1.2545813516764601</v>
      </c>
    </row>
    <row r="91" spans="1:8" ht="21.75" customHeight="1">
      <c r="A91" s="70"/>
      <c r="B91" s="71" t="s">
        <v>453</v>
      </c>
      <c r="C91" s="169"/>
      <c r="D91" s="73" t="s">
        <v>454</v>
      </c>
      <c r="E91" s="59">
        <f>SUM(E92)</f>
        <v>578003</v>
      </c>
      <c r="F91" s="59">
        <f>SUM(F92)</f>
        <v>0</v>
      </c>
      <c r="G91" s="40">
        <f>F91/E91*100</f>
        <v>0</v>
      </c>
      <c r="H91" s="154"/>
    </row>
    <row r="92" spans="1:8" s="35" customFormat="1" ht="82.5" customHeight="1">
      <c r="A92" s="62"/>
      <c r="B92" s="63"/>
      <c r="C92" s="55" t="s">
        <v>296</v>
      </c>
      <c r="D92" s="68" t="s">
        <v>1378</v>
      </c>
      <c r="E92" s="64">
        <f>6DOCHODY!E502</f>
        <v>578003</v>
      </c>
      <c r="F92" s="64">
        <f>6DOCHODY!F502</f>
        <v>0</v>
      </c>
      <c r="G92" s="40">
        <f>F92/E92*100</f>
        <v>0</v>
      </c>
      <c r="H92" s="155"/>
    </row>
    <row r="93" spans="1:8" s="35" customFormat="1" ht="33" customHeight="1">
      <c r="A93" s="62"/>
      <c r="B93" s="63"/>
      <c r="C93" s="55"/>
      <c r="D93" s="38" t="s">
        <v>108</v>
      </c>
      <c r="E93" s="64"/>
      <c r="F93" s="64"/>
      <c r="G93" s="40"/>
      <c r="H93" s="155"/>
    </row>
    <row r="94" spans="1:7" ht="18" customHeight="1" hidden="1">
      <c r="A94" s="70"/>
      <c r="B94" s="71" t="s">
        <v>849</v>
      </c>
      <c r="C94" s="169"/>
      <c r="D94" s="73" t="s">
        <v>850</v>
      </c>
      <c r="E94" s="59">
        <f>SUM(E95,E97)</f>
        <v>0</v>
      </c>
      <c r="F94" s="59">
        <f>SUM(F95,F97)</f>
        <v>0</v>
      </c>
      <c r="G94" s="28" t="e">
        <f>F94/E94*100</f>
        <v>#DIV/0!</v>
      </c>
    </row>
    <row r="95" spans="1:7" s="35" customFormat="1" ht="67.5" customHeight="1" hidden="1">
      <c r="A95" s="175"/>
      <c r="B95" s="176"/>
      <c r="C95" s="63" t="s">
        <v>296</v>
      </c>
      <c r="D95" s="68" t="s">
        <v>298</v>
      </c>
      <c r="E95" s="64">
        <f>6DOCHODY!E511</f>
        <v>0</v>
      </c>
      <c r="F95" s="64">
        <f>6DOCHODY!F511</f>
        <v>0</v>
      </c>
      <c r="G95" s="40" t="e">
        <f>F95/E95*100</f>
        <v>#DIV/0!</v>
      </c>
    </row>
    <row r="96" spans="1:7" s="35" customFormat="1" ht="27" customHeight="1" hidden="1">
      <c r="A96" s="62"/>
      <c r="B96" s="63"/>
      <c r="C96" s="55"/>
      <c r="D96" s="38" t="s">
        <v>108</v>
      </c>
      <c r="E96" s="64"/>
      <c r="F96" s="64"/>
      <c r="G96" s="40"/>
    </row>
    <row r="97" spans="1:7" ht="53.25" customHeight="1" hidden="1">
      <c r="A97" s="62"/>
      <c r="B97" s="63"/>
      <c r="C97" s="55" t="s">
        <v>346</v>
      </c>
      <c r="D97" s="32" t="s">
        <v>551</v>
      </c>
      <c r="E97" s="64">
        <f>6DOCHODY!E514</f>
        <v>0</v>
      </c>
      <c r="F97" s="64">
        <f>6DOCHODY!F514</f>
        <v>0</v>
      </c>
      <c r="G97" s="40" t="e">
        <f>F97/E97*100</f>
        <v>#DIV/0!</v>
      </c>
    </row>
    <row r="98" spans="1:7" ht="69" customHeight="1" hidden="1">
      <c r="A98" s="62"/>
      <c r="B98" s="63"/>
      <c r="C98" s="178"/>
      <c r="D98" s="196" t="s">
        <v>1272</v>
      </c>
      <c r="E98" s="64"/>
      <c r="F98" s="64"/>
      <c r="G98" s="40"/>
    </row>
    <row r="99" spans="1:7" ht="20.25" customHeight="1">
      <c r="A99" s="198"/>
      <c r="B99" s="187" t="s">
        <v>93</v>
      </c>
      <c r="C99" s="187"/>
      <c r="D99" s="199" t="s">
        <v>176</v>
      </c>
      <c r="E99" s="59">
        <f>SUM(E100,E101,E102)</f>
        <v>230874</v>
      </c>
      <c r="F99" s="59">
        <f>SUM(F100,F101,F102)</f>
        <v>10148.02</v>
      </c>
      <c r="G99" s="40">
        <f>F99/E99*100</f>
        <v>4.3954797855107115</v>
      </c>
    </row>
    <row r="100" spans="1:7" s="35" customFormat="1" ht="21.75" customHeight="1">
      <c r="A100" s="62"/>
      <c r="B100" s="63"/>
      <c r="C100" s="55" t="s">
        <v>667</v>
      </c>
      <c r="D100" s="38" t="s">
        <v>666</v>
      </c>
      <c r="E100" s="64">
        <f>6DOCHODY!E540</f>
        <v>12000</v>
      </c>
      <c r="F100" s="64">
        <f>6DOCHODY!F540</f>
        <v>10148.02</v>
      </c>
      <c r="G100" s="34">
        <f>F100/E100*100</f>
        <v>84.56683333333334</v>
      </c>
    </row>
    <row r="101" spans="1:7" s="35" customFormat="1" ht="84.75" customHeight="1">
      <c r="A101" s="157"/>
      <c r="B101" s="158"/>
      <c r="C101" s="63" t="s">
        <v>1180</v>
      </c>
      <c r="D101" s="38" t="s">
        <v>1181</v>
      </c>
      <c r="E101" s="160">
        <f>6DOCHODY!E548</f>
        <v>218874</v>
      </c>
      <c r="F101" s="160">
        <f>6DOCHODY!F548</f>
        <v>0</v>
      </c>
      <c r="G101" s="34">
        <f>F101/E101*100</f>
        <v>0</v>
      </c>
    </row>
    <row r="102" spans="1:7" s="194" customFormat="1" ht="55.5" customHeight="1" hidden="1">
      <c r="A102" s="157"/>
      <c r="B102" s="158"/>
      <c r="C102" s="63" t="s">
        <v>346</v>
      </c>
      <c r="D102" s="32" t="s">
        <v>551</v>
      </c>
      <c r="E102" s="160">
        <f>6DOCHODY!E549</f>
        <v>0</v>
      </c>
      <c r="F102" s="160">
        <f>6DOCHODY!F549</f>
        <v>0</v>
      </c>
      <c r="G102" s="34" t="e">
        <f>F102/E102*100</f>
        <v>#DIV/0!</v>
      </c>
    </row>
    <row r="103" spans="1:7" s="194" customFormat="1" ht="81.75" customHeight="1" hidden="1">
      <c r="A103" s="157"/>
      <c r="B103" s="158"/>
      <c r="C103" s="63"/>
      <c r="D103" s="38" t="s">
        <v>552</v>
      </c>
      <c r="E103" s="160"/>
      <c r="F103" s="160"/>
      <c r="G103" s="34"/>
    </row>
    <row r="104" spans="1:7" s="45" customFormat="1" ht="27.75" customHeight="1" hidden="1">
      <c r="A104" s="76" t="s">
        <v>115</v>
      </c>
      <c r="B104" s="77"/>
      <c r="C104" s="77"/>
      <c r="D104" s="174" t="s">
        <v>859</v>
      </c>
      <c r="E104" s="57">
        <f>SUM(E105,E107,E112)</f>
        <v>0</v>
      </c>
      <c r="F104" s="57">
        <f>SUM(F105,F107,F112)</f>
        <v>0</v>
      </c>
      <c r="G104" s="58" t="e">
        <f>F104/E104*100</f>
        <v>#DIV/0!</v>
      </c>
    </row>
    <row r="105" spans="1:7" s="45" customFormat="1" ht="22.5" customHeight="1" hidden="1">
      <c r="A105" s="76"/>
      <c r="B105" s="71" t="s">
        <v>862</v>
      </c>
      <c r="C105" s="71"/>
      <c r="D105" s="75" t="s">
        <v>863</v>
      </c>
      <c r="E105" s="59">
        <f>SUM(E106,E108)</f>
        <v>0</v>
      </c>
      <c r="F105" s="59">
        <f>SUM(F106,F108)</f>
        <v>0</v>
      </c>
      <c r="G105" s="40" t="e">
        <f>F105/E105*100</f>
        <v>#DIV/0!</v>
      </c>
    </row>
    <row r="106" spans="1:8" s="45" customFormat="1" ht="72" customHeight="1" hidden="1">
      <c r="A106" s="76"/>
      <c r="B106" s="77"/>
      <c r="C106" s="55" t="s">
        <v>386</v>
      </c>
      <c r="D106" s="68" t="s">
        <v>531</v>
      </c>
      <c r="E106" s="64">
        <v>0</v>
      </c>
      <c r="F106" s="64">
        <v>0</v>
      </c>
      <c r="G106" s="40" t="e">
        <f>F106/E106*100</f>
        <v>#DIV/0!</v>
      </c>
      <c r="H106" s="45" t="s">
        <v>1172</v>
      </c>
    </row>
    <row r="107" spans="1:7" ht="21.75" customHeight="1" hidden="1">
      <c r="A107" s="70"/>
      <c r="B107" s="71" t="s">
        <v>533</v>
      </c>
      <c r="C107" s="71"/>
      <c r="D107" s="75" t="s">
        <v>534</v>
      </c>
      <c r="E107" s="59">
        <f>SUM(E108,E110)</f>
        <v>0</v>
      </c>
      <c r="F107" s="59">
        <f>SUM(F108,F110)</f>
        <v>0</v>
      </c>
      <c r="G107" s="40" t="s">
        <v>799</v>
      </c>
    </row>
    <row r="108" spans="1:7" s="35" customFormat="1" ht="67.5" customHeight="1" hidden="1">
      <c r="A108" s="175"/>
      <c r="B108" s="176"/>
      <c r="C108" s="63" t="s">
        <v>296</v>
      </c>
      <c r="D108" s="68" t="s">
        <v>298</v>
      </c>
      <c r="E108" s="64">
        <f>6DOCHODY!E564</f>
        <v>0</v>
      </c>
      <c r="F108" s="64">
        <f>6DOCHODY!F564</f>
        <v>0</v>
      </c>
      <c r="G108" s="40" t="s">
        <v>799</v>
      </c>
    </row>
    <row r="109" spans="1:7" s="35" customFormat="1" ht="27" customHeight="1" hidden="1">
      <c r="A109" s="62"/>
      <c r="B109" s="63"/>
      <c r="C109" s="55"/>
      <c r="D109" s="38" t="s">
        <v>108</v>
      </c>
      <c r="E109" s="64"/>
      <c r="F109" s="64"/>
      <c r="G109" s="40"/>
    </row>
    <row r="110" spans="1:7" ht="72" customHeight="1" hidden="1">
      <c r="A110" s="62"/>
      <c r="B110" s="63"/>
      <c r="C110" s="55" t="s">
        <v>296</v>
      </c>
      <c r="D110" s="68" t="s">
        <v>298</v>
      </c>
      <c r="E110" s="64">
        <f>6DOCHODY!E566</f>
        <v>0</v>
      </c>
      <c r="F110" s="64">
        <f>6DOCHODY!F566</f>
        <v>0</v>
      </c>
      <c r="G110" s="40" t="s">
        <v>799</v>
      </c>
    </row>
    <row r="111" spans="1:7" ht="33.75" customHeight="1" hidden="1">
      <c r="A111" s="62"/>
      <c r="B111" s="63"/>
      <c r="C111" s="55"/>
      <c r="D111" s="38" t="s">
        <v>108</v>
      </c>
      <c r="E111" s="64"/>
      <c r="F111" s="64"/>
      <c r="G111" s="40"/>
    </row>
    <row r="112" spans="1:7" ht="21.75" customHeight="1" hidden="1">
      <c r="A112" s="70"/>
      <c r="B112" s="71" t="s">
        <v>866</v>
      </c>
      <c r="C112" s="71"/>
      <c r="D112" s="75" t="s">
        <v>176</v>
      </c>
      <c r="E112" s="59">
        <f>SUM(E113)</f>
        <v>0</v>
      </c>
      <c r="F112" s="59">
        <f>SUM(F113)</f>
        <v>0</v>
      </c>
      <c r="G112" s="40" t="e">
        <f>F112/E112*100</f>
        <v>#DIV/0!</v>
      </c>
    </row>
    <row r="113" spans="1:7" s="35" customFormat="1" ht="66" customHeight="1" hidden="1">
      <c r="A113" s="62"/>
      <c r="B113" s="63"/>
      <c r="C113" s="63" t="s">
        <v>385</v>
      </c>
      <c r="D113" s="38" t="s">
        <v>655</v>
      </c>
      <c r="E113" s="64">
        <f>6DOCHODY!E576</f>
        <v>0</v>
      </c>
      <c r="F113" s="64">
        <f>6DOCHODY!F576</f>
        <v>0</v>
      </c>
      <c r="G113" s="40" t="e">
        <f>F113/E113*100</f>
        <v>#DIV/0!</v>
      </c>
    </row>
    <row r="114" spans="1:7" ht="21" customHeight="1">
      <c r="A114" s="76" t="s">
        <v>116</v>
      </c>
      <c r="B114" s="77"/>
      <c r="C114" s="195"/>
      <c r="D114" s="174" t="s">
        <v>106</v>
      </c>
      <c r="E114" s="57">
        <f>SUM(E115,E121,E126)</f>
        <v>1103987</v>
      </c>
      <c r="F114" s="57">
        <f>SUM(F115,F121,F126)</f>
        <v>0</v>
      </c>
      <c r="G114" s="22">
        <f>F114/E114*100</f>
        <v>0</v>
      </c>
    </row>
    <row r="115" spans="1:7" s="35" customFormat="1" ht="18" customHeight="1">
      <c r="A115" s="70"/>
      <c r="B115" s="71" t="s">
        <v>119</v>
      </c>
      <c r="C115" s="169"/>
      <c r="D115" s="73" t="s">
        <v>120</v>
      </c>
      <c r="E115" s="59">
        <f>SUM(E116,E118,E119)</f>
        <v>1103987</v>
      </c>
      <c r="F115" s="59">
        <f>SUM(F116,F118,F119)</f>
        <v>0</v>
      </c>
      <c r="G115" s="28">
        <f>F115/E115*100</f>
        <v>0</v>
      </c>
    </row>
    <row r="116" spans="1:7" s="35" customFormat="1" ht="71.25" customHeight="1" hidden="1">
      <c r="A116" s="70"/>
      <c r="B116" s="71"/>
      <c r="C116" s="63" t="s">
        <v>296</v>
      </c>
      <c r="D116" s="68" t="s">
        <v>298</v>
      </c>
      <c r="E116" s="64">
        <f>6DOCHODY!E582</f>
        <v>0</v>
      </c>
      <c r="F116" s="64">
        <f>6DOCHODY!F582</f>
        <v>0</v>
      </c>
      <c r="G116" s="40" t="e">
        <f>F116/E116*100</f>
        <v>#DIV/0!</v>
      </c>
    </row>
    <row r="117" spans="1:7" s="35" customFormat="1" ht="33.75" customHeight="1" hidden="1">
      <c r="A117" s="70"/>
      <c r="B117" s="71"/>
      <c r="C117" s="55"/>
      <c r="D117" s="38" t="s">
        <v>108</v>
      </c>
      <c r="E117" s="59"/>
      <c r="F117" s="59"/>
      <c r="G117" s="28"/>
    </row>
    <row r="118" spans="1:7" s="45" customFormat="1" ht="69.75" customHeight="1">
      <c r="A118" s="70"/>
      <c r="B118" s="71"/>
      <c r="C118" s="63" t="s">
        <v>385</v>
      </c>
      <c r="D118" s="38" t="s">
        <v>655</v>
      </c>
      <c r="E118" s="64">
        <f>6DOCHODY!E584</f>
        <v>1103987</v>
      </c>
      <c r="F118" s="64">
        <f>6DOCHODY!F584</f>
        <v>0</v>
      </c>
      <c r="G118" s="40">
        <f>F118/E118*100</f>
        <v>0</v>
      </c>
    </row>
    <row r="119" spans="1:7" ht="54.75" customHeight="1" hidden="1">
      <c r="A119" s="62"/>
      <c r="B119" s="63"/>
      <c r="C119" s="55" t="s">
        <v>346</v>
      </c>
      <c r="D119" s="32" t="s">
        <v>551</v>
      </c>
      <c r="E119" s="64">
        <f>6DOCHODY!E585</f>
        <v>0</v>
      </c>
      <c r="F119" s="64">
        <f>6DOCHODY!F585</f>
        <v>0</v>
      </c>
      <c r="G119" s="40" t="e">
        <f>F119/E119*100</f>
        <v>#DIV/0!</v>
      </c>
    </row>
    <row r="120" spans="1:7" ht="66" customHeight="1" hidden="1">
      <c r="A120" s="62"/>
      <c r="B120" s="63"/>
      <c r="C120" s="178"/>
      <c r="D120" s="196" t="s">
        <v>1272</v>
      </c>
      <c r="E120" s="64"/>
      <c r="F120" s="64"/>
      <c r="G120" s="40"/>
    </row>
    <row r="121" spans="1:7" ht="23.25" customHeight="1" hidden="1">
      <c r="A121" s="70"/>
      <c r="B121" s="187" t="s">
        <v>121</v>
      </c>
      <c r="C121" s="201"/>
      <c r="D121" s="202" t="s">
        <v>107</v>
      </c>
      <c r="E121" s="190">
        <f>SUM(E122,E124)</f>
        <v>0</v>
      </c>
      <c r="F121" s="190">
        <f>SUM(F122,F124)</f>
        <v>0</v>
      </c>
      <c r="G121" s="54" t="e">
        <f aca="true" t="shared" si="4" ref="G121:G126">F121/E121*100</f>
        <v>#DIV/0!</v>
      </c>
    </row>
    <row r="122" spans="1:7" ht="87.75" customHeight="1" hidden="1">
      <c r="A122" s="62"/>
      <c r="B122" s="187"/>
      <c r="C122" s="63" t="s">
        <v>296</v>
      </c>
      <c r="D122" s="68" t="s">
        <v>1378</v>
      </c>
      <c r="E122" s="64">
        <f>6DOCHODY!E595</f>
        <v>0</v>
      </c>
      <c r="F122" s="160">
        <f>6DOCHODY!F595</f>
        <v>0</v>
      </c>
      <c r="G122" s="34" t="e">
        <f t="shared" si="4"/>
        <v>#DIV/0!</v>
      </c>
    </row>
    <row r="123" spans="1:7" ht="27.75" customHeight="1" hidden="1">
      <c r="A123" s="62"/>
      <c r="B123" s="158"/>
      <c r="C123" s="178"/>
      <c r="D123" s="196" t="s">
        <v>108</v>
      </c>
      <c r="E123" s="64"/>
      <c r="F123" s="160"/>
      <c r="G123" s="34"/>
    </row>
    <row r="124" spans="1:7" ht="53.25" customHeight="1" hidden="1">
      <c r="A124" s="62"/>
      <c r="B124" s="63"/>
      <c r="C124" s="55" t="s">
        <v>346</v>
      </c>
      <c r="D124" s="32" t="s">
        <v>551</v>
      </c>
      <c r="E124" s="64">
        <f>6DOCHODY!E597</f>
        <v>0</v>
      </c>
      <c r="F124" s="64">
        <f>6DOCHODY!F597</f>
        <v>0</v>
      </c>
      <c r="G124" s="40" t="e">
        <f>F124/E124*100</f>
        <v>#DIV/0!</v>
      </c>
    </row>
    <row r="125" spans="1:7" ht="66" customHeight="1" hidden="1">
      <c r="A125" s="62"/>
      <c r="B125" s="158"/>
      <c r="C125" s="178"/>
      <c r="D125" s="196" t="s">
        <v>1272</v>
      </c>
      <c r="E125" s="160"/>
      <c r="F125" s="160"/>
      <c r="G125" s="34"/>
    </row>
    <row r="126" spans="1:7" ht="21.75" customHeight="1" hidden="1">
      <c r="A126" s="70"/>
      <c r="B126" s="187" t="s">
        <v>387</v>
      </c>
      <c r="C126" s="201"/>
      <c r="D126" s="202" t="s">
        <v>176</v>
      </c>
      <c r="E126" s="59">
        <f>SUM(E127)</f>
        <v>0</v>
      </c>
      <c r="F126" s="190">
        <f>SUM(F127)</f>
        <v>0</v>
      </c>
      <c r="G126" s="34" t="e">
        <f t="shared" si="4"/>
        <v>#DIV/0!</v>
      </c>
    </row>
    <row r="127" spans="1:7" s="45" customFormat="1" ht="68.25" customHeight="1" hidden="1">
      <c r="A127" s="203"/>
      <c r="B127" s="204"/>
      <c r="C127" s="205" t="s">
        <v>385</v>
      </c>
      <c r="D127" s="206" t="s">
        <v>655</v>
      </c>
      <c r="E127" s="207">
        <f>6DOCHODY!E601</f>
        <v>0</v>
      </c>
      <c r="F127" s="207">
        <f>6DOCHODY!F601</f>
        <v>0</v>
      </c>
      <c r="G127" s="208" t="e">
        <f aca="true" t="shared" si="5" ref="G127:G132">F127/E127*100</f>
        <v>#DIV/0!</v>
      </c>
    </row>
    <row r="128" spans="1:7" s="225" customFormat="1" ht="19.5" customHeight="1">
      <c r="A128" s="1476" t="s">
        <v>1038</v>
      </c>
      <c r="B128" s="1477"/>
      <c r="C128" s="1477"/>
      <c r="D128" s="1478"/>
      <c r="E128" s="282">
        <f>SUM(E129,E138,E141,E152,E157,E160,E166,E170)</f>
        <v>2442712</v>
      </c>
      <c r="F128" s="282">
        <f>SUM(F129,F138,F141,F152,F157,F160,F166,F170)</f>
        <v>125498.79000000001</v>
      </c>
      <c r="G128" s="283">
        <f t="shared" si="5"/>
        <v>5.137682624885783</v>
      </c>
    </row>
    <row r="129" spans="1:7" s="284" customFormat="1" ht="16.5" customHeight="1">
      <c r="A129" s="18" t="s">
        <v>263</v>
      </c>
      <c r="B129" s="42"/>
      <c r="C129" s="42"/>
      <c r="D129" s="52" t="s">
        <v>264</v>
      </c>
      <c r="E129" s="21">
        <f>SUM(E130)</f>
        <v>2337849</v>
      </c>
      <c r="F129" s="21">
        <f>SUM(F130)</f>
        <v>23035.79</v>
      </c>
      <c r="G129" s="22">
        <f t="shared" si="5"/>
        <v>0.9853412260586548</v>
      </c>
    </row>
    <row r="130" spans="1:7" s="211" customFormat="1" ht="39.75" customHeight="1">
      <c r="A130" s="24"/>
      <c r="B130" s="46" t="s">
        <v>265</v>
      </c>
      <c r="C130" s="46"/>
      <c r="D130" s="26" t="s">
        <v>421</v>
      </c>
      <c r="E130" s="27">
        <f>SUM(E131,E132,E134,E135,E137)</f>
        <v>2337849</v>
      </c>
      <c r="F130" s="27">
        <f>SUM(F131,F132,F134,F135,F137)</f>
        <v>23035.79</v>
      </c>
      <c r="G130" s="28">
        <f t="shared" si="5"/>
        <v>0.9853412260586548</v>
      </c>
    </row>
    <row r="131" spans="1:7" s="69" customFormat="1" ht="27.75" customHeight="1">
      <c r="A131" s="30"/>
      <c r="B131" s="31"/>
      <c r="C131" s="31" t="s">
        <v>667</v>
      </c>
      <c r="D131" s="32" t="s">
        <v>666</v>
      </c>
      <c r="E131" s="51">
        <f>6DOCHODY!E620</f>
        <v>4000</v>
      </c>
      <c r="F131" s="51">
        <f>6DOCHODY!F620</f>
        <v>3035.61</v>
      </c>
      <c r="G131" s="34">
        <f t="shared" si="5"/>
        <v>75.89025000000001</v>
      </c>
    </row>
    <row r="132" spans="1:7" s="69" customFormat="1" ht="84" customHeight="1">
      <c r="A132" s="30"/>
      <c r="B132" s="31"/>
      <c r="C132" s="31" t="s">
        <v>296</v>
      </c>
      <c r="D132" s="68" t="s">
        <v>1378</v>
      </c>
      <c r="E132" s="51">
        <f>6DOCHODY!E625</f>
        <v>2333849</v>
      </c>
      <c r="F132" s="51">
        <f>6DOCHODY!F625</f>
        <v>0</v>
      </c>
      <c r="G132" s="34">
        <f t="shared" si="5"/>
        <v>0</v>
      </c>
    </row>
    <row r="133" spans="1:7" s="69" customFormat="1" ht="26.25" customHeight="1">
      <c r="A133" s="30"/>
      <c r="B133" s="31"/>
      <c r="C133" s="31"/>
      <c r="D133" s="38" t="s">
        <v>108</v>
      </c>
      <c r="E133" s="51"/>
      <c r="F133" s="51"/>
      <c r="G133" s="34"/>
    </row>
    <row r="134" spans="1:7" s="211" customFormat="1" ht="66" customHeight="1">
      <c r="A134" s="30"/>
      <c r="B134" s="36"/>
      <c r="C134" s="31" t="s">
        <v>436</v>
      </c>
      <c r="D134" s="32" t="s">
        <v>1398</v>
      </c>
      <c r="E134" s="39">
        <f>6DOCHODY!E627</f>
        <v>0</v>
      </c>
      <c r="F134" s="39">
        <f>6DOCHODY!F627</f>
        <v>20000.18</v>
      </c>
      <c r="G134" s="34" t="e">
        <f>F134/E134*100</f>
        <v>#DIV/0!</v>
      </c>
    </row>
    <row r="135" spans="1:7" s="285" customFormat="1" ht="66.75" customHeight="1" hidden="1">
      <c r="A135" s="233"/>
      <c r="B135" s="65"/>
      <c r="C135" s="31" t="s">
        <v>346</v>
      </c>
      <c r="D135" s="32" t="s">
        <v>1398</v>
      </c>
      <c r="E135" s="33">
        <f>6DOCHODY!E628</f>
        <v>0</v>
      </c>
      <c r="F135" s="33">
        <f>6DOCHODY!F628</f>
        <v>0</v>
      </c>
      <c r="G135" s="34" t="e">
        <f>F135/E135*100</f>
        <v>#DIV/0!</v>
      </c>
    </row>
    <row r="136" spans="1:7" s="285" customFormat="1" ht="84" customHeight="1" hidden="1">
      <c r="A136" s="233"/>
      <c r="B136" s="65"/>
      <c r="C136" s="60"/>
      <c r="D136" s="196" t="s">
        <v>1401</v>
      </c>
      <c r="E136" s="51"/>
      <c r="F136" s="33"/>
      <c r="G136" s="34"/>
    </row>
    <row r="137" spans="1:7" s="69" customFormat="1" ht="40.5" customHeight="1" hidden="1">
      <c r="A137" s="30"/>
      <c r="B137" s="60"/>
      <c r="C137" s="31" t="s">
        <v>102</v>
      </c>
      <c r="D137" s="32" t="s">
        <v>110</v>
      </c>
      <c r="E137" s="39">
        <f>6DOCHODY!E632</f>
        <v>0</v>
      </c>
      <c r="F137" s="39">
        <f>6DOCHODY!F632</f>
        <v>0</v>
      </c>
      <c r="G137" s="40" t="e">
        <f>F137/E137*100</f>
        <v>#DIV/0!</v>
      </c>
    </row>
    <row r="138" spans="1:7" s="211" customFormat="1" ht="21" customHeight="1">
      <c r="A138" s="18" t="s">
        <v>270</v>
      </c>
      <c r="B138" s="213"/>
      <c r="C138" s="42"/>
      <c r="D138" s="43" t="s">
        <v>216</v>
      </c>
      <c r="E138" s="44">
        <f>SUM(E139)</f>
        <v>123</v>
      </c>
      <c r="F138" s="44">
        <f>SUM(F139)</f>
        <v>123</v>
      </c>
      <c r="G138" s="22">
        <f aca="true" t="shared" si="6" ref="G138:G161">F138/E138*100</f>
        <v>100</v>
      </c>
    </row>
    <row r="139" spans="1:7" s="211" customFormat="1" ht="19.5" customHeight="1">
      <c r="A139" s="30"/>
      <c r="B139" s="65" t="s">
        <v>217</v>
      </c>
      <c r="C139" s="65"/>
      <c r="D139" s="212" t="s">
        <v>218</v>
      </c>
      <c r="E139" s="48">
        <f>SUM(E140)</f>
        <v>123</v>
      </c>
      <c r="F139" s="48">
        <f>SUM(F140)</f>
        <v>123</v>
      </c>
      <c r="G139" s="28">
        <f t="shared" si="6"/>
        <v>100</v>
      </c>
    </row>
    <row r="140" spans="1:7" s="69" customFormat="1" ht="53.25" customHeight="1">
      <c r="A140" s="30"/>
      <c r="B140" s="36"/>
      <c r="C140" s="37">
        <v>6410</v>
      </c>
      <c r="D140" s="38" t="s">
        <v>350</v>
      </c>
      <c r="E140" s="67">
        <f>6DOCHODY!E637</f>
        <v>123</v>
      </c>
      <c r="F140" s="67">
        <f>6DOCHODY!F637</f>
        <v>123</v>
      </c>
      <c r="G140" s="40">
        <f t="shared" si="6"/>
        <v>100</v>
      </c>
    </row>
    <row r="141" spans="1:7" s="211" customFormat="1" ht="19.5" customHeight="1" hidden="1">
      <c r="A141" s="18" t="s">
        <v>219</v>
      </c>
      <c r="B141" s="42"/>
      <c r="C141" s="214"/>
      <c r="D141" s="43" t="s">
        <v>220</v>
      </c>
      <c r="E141" s="44">
        <f>SUM(E142,E148,E150)</f>
        <v>0</v>
      </c>
      <c r="F141" s="44">
        <f>SUM(F142,F148,F150)</f>
        <v>0</v>
      </c>
      <c r="G141" s="40" t="e">
        <f t="shared" si="6"/>
        <v>#DIV/0!</v>
      </c>
    </row>
    <row r="142" spans="1:7" s="211" customFormat="1" ht="19.5" customHeight="1" hidden="1">
      <c r="A142" s="24"/>
      <c r="B142" s="46" t="s">
        <v>222</v>
      </c>
      <c r="C142" s="46"/>
      <c r="D142" s="26" t="s">
        <v>223</v>
      </c>
      <c r="E142" s="48">
        <f>SUM(E143,E145,E146)</f>
        <v>0</v>
      </c>
      <c r="F142" s="48">
        <f>SUM(F143,F145,F146)</f>
        <v>0</v>
      </c>
      <c r="G142" s="40" t="e">
        <f t="shared" si="6"/>
        <v>#DIV/0!</v>
      </c>
    </row>
    <row r="143" spans="1:7" s="69" customFormat="1" ht="66" customHeight="1" hidden="1">
      <c r="A143" s="30"/>
      <c r="B143" s="31"/>
      <c r="C143" s="31" t="s">
        <v>296</v>
      </c>
      <c r="D143" s="68" t="s">
        <v>298</v>
      </c>
      <c r="E143" s="51">
        <f>6DOCHODY!E650</f>
        <v>0</v>
      </c>
      <c r="F143" s="51">
        <f>6DOCHODY!F650</f>
        <v>0</v>
      </c>
      <c r="G143" s="40" t="e">
        <f t="shared" si="6"/>
        <v>#DIV/0!</v>
      </c>
    </row>
    <row r="144" spans="1:7" s="69" customFormat="1" ht="28.5" customHeight="1" hidden="1">
      <c r="A144" s="30"/>
      <c r="B144" s="31"/>
      <c r="C144" s="31"/>
      <c r="D144" s="38" t="s">
        <v>108</v>
      </c>
      <c r="E144" s="51"/>
      <c r="F144" s="51"/>
      <c r="G144" s="40" t="e">
        <f t="shared" si="6"/>
        <v>#DIV/0!</v>
      </c>
    </row>
    <row r="145" spans="1:7" s="69" customFormat="1" ht="67.5" customHeight="1" hidden="1">
      <c r="A145" s="30"/>
      <c r="B145" s="31"/>
      <c r="C145" s="31" t="s">
        <v>385</v>
      </c>
      <c r="D145" s="32" t="s">
        <v>655</v>
      </c>
      <c r="E145" s="51">
        <f>6DOCHODY!E652</f>
        <v>0</v>
      </c>
      <c r="F145" s="51">
        <f>6DOCHODY!F652</f>
        <v>0</v>
      </c>
      <c r="G145" s="40" t="e">
        <f t="shared" si="6"/>
        <v>#DIV/0!</v>
      </c>
    </row>
    <row r="146" spans="1:7" s="69" customFormat="1" ht="51.75" customHeight="1" hidden="1">
      <c r="A146" s="30"/>
      <c r="B146" s="31"/>
      <c r="C146" s="31" t="s">
        <v>346</v>
      </c>
      <c r="D146" s="32" t="s">
        <v>551</v>
      </c>
      <c r="E146" s="51">
        <f>6DOCHODY!E653</f>
        <v>0</v>
      </c>
      <c r="F146" s="51">
        <f>6DOCHODY!F653</f>
        <v>0</v>
      </c>
      <c r="G146" s="40" t="e">
        <f t="shared" si="6"/>
        <v>#DIV/0!</v>
      </c>
    </row>
    <row r="147" spans="1:7" s="69" customFormat="1" ht="66" customHeight="1" hidden="1">
      <c r="A147" s="30"/>
      <c r="B147" s="31"/>
      <c r="C147" s="60"/>
      <c r="D147" s="196" t="s">
        <v>1272</v>
      </c>
      <c r="E147" s="51"/>
      <c r="F147" s="51"/>
      <c r="G147" s="40" t="e">
        <f t="shared" si="6"/>
        <v>#DIV/0!</v>
      </c>
    </row>
    <row r="148" spans="1:7" s="69" customFormat="1" ht="23.25" customHeight="1" hidden="1">
      <c r="A148" s="30"/>
      <c r="B148" s="46" t="s">
        <v>224</v>
      </c>
      <c r="C148" s="46"/>
      <c r="D148" s="47" t="s">
        <v>214</v>
      </c>
      <c r="E148" s="51">
        <f>SUM(E149)</f>
        <v>0</v>
      </c>
      <c r="F148" s="51">
        <f>SUM(F149)</f>
        <v>0</v>
      </c>
      <c r="G148" s="40" t="e">
        <f t="shared" si="6"/>
        <v>#DIV/0!</v>
      </c>
    </row>
    <row r="149" spans="1:7" s="69" customFormat="1" ht="67.5" customHeight="1" hidden="1">
      <c r="A149" s="30"/>
      <c r="B149" s="31"/>
      <c r="C149" s="31" t="s">
        <v>657</v>
      </c>
      <c r="D149" s="32" t="s">
        <v>350</v>
      </c>
      <c r="E149" s="51">
        <f>6DOCHODY!E657</f>
        <v>0</v>
      </c>
      <c r="F149" s="51">
        <f>6DOCHODY!F657</f>
        <v>0</v>
      </c>
      <c r="G149" s="40" t="e">
        <f t="shared" si="6"/>
        <v>#DIV/0!</v>
      </c>
    </row>
    <row r="150" spans="1:7" s="69" customFormat="1" ht="23.25" customHeight="1" hidden="1">
      <c r="A150" s="30"/>
      <c r="B150" s="46" t="s">
        <v>656</v>
      </c>
      <c r="C150" s="46"/>
      <c r="D150" s="47" t="s">
        <v>176</v>
      </c>
      <c r="E150" s="48">
        <f>SUM(E151)</f>
        <v>0</v>
      </c>
      <c r="F150" s="48">
        <f>SUM(F151)</f>
        <v>0</v>
      </c>
      <c r="G150" s="40" t="e">
        <f t="shared" si="6"/>
        <v>#DIV/0!</v>
      </c>
    </row>
    <row r="151" spans="1:7" s="69" customFormat="1" ht="58.5" customHeight="1" hidden="1">
      <c r="A151" s="24"/>
      <c r="B151" s="31"/>
      <c r="C151" s="31" t="s">
        <v>657</v>
      </c>
      <c r="D151" s="32" t="s">
        <v>350</v>
      </c>
      <c r="E151" s="51">
        <f>6DOCHODY!E659</f>
        <v>0</v>
      </c>
      <c r="F151" s="51">
        <f>6DOCHODY!F659</f>
        <v>0</v>
      </c>
      <c r="G151" s="40" t="e">
        <f t="shared" si="6"/>
        <v>#DIV/0!</v>
      </c>
    </row>
    <row r="152" spans="1:7" s="211" customFormat="1" ht="29.25" customHeight="1">
      <c r="A152" s="18" t="s">
        <v>5</v>
      </c>
      <c r="B152" s="42"/>
      <c r="C152" s="214"/>
      <c r="D152" s="52" t="s">
        <v>84</v>
      </c>
      <c r="E152" s="44">
        <f>SUM(E153,E156)</f>
        <v>102340</v>
      </c>
      <c r="F152" s="44">
        <f>SUM(F153,F156)</f>
        <v>102340</v>
      </c>
      <c r="G152" s="22">
        <f t="shared" si="6"/>
        <v>100</v>
      </c>
    </row>
    <row r="153" spans="1:7" s="211" customFormat="1" ht="19.5" customHeight="1" hidden="1">
      <c r="A153" s="24"/>
      <c r="B153" s="46" t="s">
        <v>6</v>
      </c>
      <c r="C153" s="214"/>
      <c r="D153" s="26" t="s">
        <v>317</v>
      </c>
      <c r="E153" s="48">
        <f>SUM(E154)</f>
        <v>0</v>
      </c>
      <c r="F153" s="48">
        <f>SUM(F154)</f>
        <v>0</v>
      </c>
      <c r="G153" s="28" t="e">
        <f t="shared" si="6"/>
        <v>#DIV/0!</v>
      </c>
    </row>
    <row r="154" spans="1:7" s="69" customFormat="1" ht="54.75" customHeight="1" hidden="1">
      <c r="A154" s="30"/>
      <c r="B154" s="36"/>
      <c r="C154" s="216">
        <v>6410</v>
      </c>
      <c r="D154" s="32" t="s">
        <v>350</v>
      </c>
      <c r="E154" s="67">
        <f>6DOCHODY!E677</f>
        <v>0</v>
      </c>
      <c r="F154" s="67">
        <f>6DOCHODY!F677</f>
        <v>0</v>
      </c>
      <c r="G154" s="40" t="s">
        <v>799</v>
      </c>
    </row>
    <row r="155" spans="1:8" s="211" customFormat="1" ht="19.5" customHeight="1">
      <c r="A155" s="24"/>
      <c r="B155" s="25" t="s">
        <v>1112</v>
      </c>
      <c r="C155" s="217"/>
      <c r="D155" s="26" t="s">
        <v>176</v>
      </c>
      <c r="E155" s="218">
        <f>SUM(E156)</f>
        <v>102340</v>
      </c>
      <c r="F155" s="218">
        <f>SUM(F156)</f>
        <v>102340</v>
      </c>
      <c r="G155" s="28">
        <f>F155/E155*100</f>
        <v>100</v>
      </c>
      <c r="H155" s="209"/>
    </row>
    <row r="156" spans="1:8" s="69" customFormat="1" ht="69" customHeight="1">
      <c r="A156" s="30"/>
      <c r="B156" s="36"/>
      <c r="C156" s="216">
        <v>6260</v>
      </c>
      <c r="D156" s="38" t="s">
        <v>655</v>
      </c>
      <c r="E156" s="67">
        <f>6DOCHODY!E682</f>
        <v>102340</v>
      </c>
      <c r="F156" s="67">
        <f>6DOCHODY!F682</f>
        <v>102340</v>
      </c>
      <c r="G156" s="40">
        <f>F156/E156*100</f>
        <v>100</v>
      </c>
      <c r="H156" s="156"/>
    </row>
    <row r="157" spans="1:7" s="69" customFormat="1" ht="19.5" customHeight="1" hidden="1">
      <c r="A157" s="18" t="s">
        <v>10</v>
      </c>
      <c r="B157" s="42"/>
      <c r="C157" s="42"/>
      <c r="D157" s="43" t="s">
        <v>11</v>
      </c>
      <c r="E157" s="220">
        <f>SUM(E158)</f>
        <v>0</v>
      </c>
      <c r="F157" s="220">
        <f>SUM(F158)</f>
        <v>0</v>
      </c>
      <c r="G157" s="22" t="e">
        <f>F157/E157*100</f>
        <v>#DIV/0!</v>
      </c>
    </row>
    <row r="158" spans="1:7" s="69" customFormat="1" ht="20.25" customHeight="1" hidden="1">
      <c r="A158" s="24"/>
      <c r="B158" s="46" t="s">
        <v>807</v>
      </c>
      <c r="C158" s="197"/>
      <c r="D158" s="26" t="s">
        <v>808</v>
      </c>
      <c r="E158" s="218">
        <f>SUM(E159)</f>
        <v>0</v>
      </c>
      <c r="F158" s="218">
        <f>SUM(F159)</f>
        <v>0</v>
      </c>
      <c r="G158" s="28" t="e">
        <f>F158/E158*100</f>
        <v>#DIV/0!</v>
      </c>
    </row>
    <row r="159" spans="1:7" s="69" customFormat="1" ht="42.75" customHeight="1" hidden="1">
      <c r="A159" s="30"/>
      <c r="B159" s="31"/>
      <c r="C159" s="66" t="s">
        <v>1035</v>
      </c>
      <c r="D159" s="68" t="s">
        <v>1027</v>
      </c>
      <c r="E159" s="51"/>
      <c r="F159" s="51"/>
      <c r="G159" s="40" t="e">
        <f>F159/E159*100</f>
        <v>#DIV/0!</v>
      </c>
    </row>
    <row r="160" spans="1:7" s="69" customFormat="1" ht="19.5" customHeight="1" hidden="1">
      <c r="A160" s="18" t="s">
        <v>12</v>
      </c>
      <c r="B160" s="42"/>
      <c r="C160" s="214"/>
      <c r="D160" s="43" t="s">
        <v>13</v>
      </c>
      <c r="E160" s="44">
        <f>SUM(E161,E164)</f>
        <v>0</v>
      </c>
      <c r="F160" s="44">
        <f>SUM(F161,F164)</f>
        <v>0</v>
      </c>
      <c r="G160" s="200" t="e">
        <f t="shared" si="6"/>
        <v>#DIV/0!</v>
      </c>
    </row>
    <row r="161" spans="1:7" s="69" customFormat="1" ht="19.5" customHeight="1" hidden="1">
      <c r="A161" s="18"/>
      <c r="B161" s="46" t="s">
        <v>18</v>
      </c>
      <c r="C161" s="214"/>
      <c r="D161" s="47" t="s">
        <v>277</v>
      </c>
      <c r="E161" s="48">
        <f>SUM(E162)</f>
        <v>0</v>
      </c>
      <c r="F161" s="48">
        <f>SUM(F162)</f>
        <v>0</v>
      </c>
      <c r="G161" s="40" t="e">
        <f t="shared" si="6"/>
        <v>#DIV/0!</v>
      </c>
    </row>
    <row r="162" spans="1:7" s="69" customFormat="1" ht="54.75" customHeight="1" hidden="1">
      <c r="A162" s="30"/>
      <c r="B162" s="36"/>
      <c r="C162" s="63" t="s">
        <v>346</v>
      </c>
      <c r="D162" s="32" t="s">
        <v>551</v>
      </c>
      <c r="E162" s="67">
        <f>6DOCHODY!E726</f>
        <v>0</v>
      </c>
      <c r="F162" s="67">
        <f>6DOCHODY!F726</f>
        <v>0</v>
      </c>
      <c r="G162" s="40" t="e">
        <f>F162/E162*100</f>
        <v>#DIV/0!</v>
      </c>
    </row>
    <row r="163" spans="1:7" s="69" customFormat="1" ht="54.75" customHeight="1" hidden="1">
      <c r="A163" s="30"/>
      <c r="B163" s="36"/>
      <c r="C163" s="63"/>
      <c r="D163" s="38" t="s">
        <v>552</v>
      </c>
      <c r="E163" s="64"/>
      <c r="F163" s="64"/>
      <c r="G163" s="40"/>
    </row>
    <row r="164" spans="1:7" s="69" customFormat="1" ht="21.75" customHeight="1" hidden="1">
      <c r="A164" s="30"/>
      <c r="B164" s="46" t="s">
        <v>19</v>
      </c>
      <c r="C164" s="214"/>
      <c r="D164" s="47" t="s">
        <v>20</v>
      </c>
      <c r="E164" s="48">
        <f>SUM(E165)</f>
        <v>0</v>
      </c>
      <c r="F164" s="48">
        <f>SUM(F165)</f>
        <v>0</v>
      </c>
      <c r="G164" s="28" t="s">
        <v>799</v>
      </c>
    </row>
    <row r="165" spans="1:7" s="69" customFormat="1" ht="30.75" customHeight="1" hidden="1">
      <c r="A165" s="30"/>
      <c r="B165" s="36"/>
      <c r="C165" s="63" t="s">
        <v>667</v>
      </c>
      <c r="D165" s="38" t="s">
        <v>666</v>
      </c>
      <c r="E165" s="67">
        <f>6DOCHODY!E730</f>
        <v>0</v>
      </c>
      <c r="F165" s="67">
        <f>6DOCHODY!F730</f>
        <v>0</v>
      </c>
      <c r="G165" s="40" t="s">
        <v>799</v>
      </c>
    </row>
    <row r="166" spans="1:7" s="69" customFormat="1" ht="33.75" customHeight="1" hidden="1">
      <c r="A166" s="18" t="s">
        <v>25</v>
      </c>
      <c r="B166" s="42"/>
      <c r="C166" s="214"/>
      <c r="D166" s="52" t="s">
        <v>710</v>
      </c>
      <c r="E166" s="44">
        <f>SUM(E167)</f>
        <v>0</v>
      </c>
      <c r="F166" s="44">
        <f>SUM(F167)</f>
        <v>0</v>
      </c>
      <c r="G166" s="22" t="e">
        <f aca="true" t="shared" si="7" ref="G166:G173">F166/E166*100</f>
        <v>#DIV/0!</v>
      </c>
    </row>
    <row r="167" spans="1:7" s="69" customFormat="1" ht="30" customHeight="1" hidden="1">
      <c r="A167" s="24"/>
      <c r="B167" s="46" t="s">
        <v>714</v>
      </c>
      <c r="C167" s="214"/>
      <c r="D167" s="26" t="s">
        <v>176</v>
      </c>
      <c r="E167" s="48">
        <f>SUM(E168)</f>
        <v>0</v>
      </c>
      <c r="F167" s="48">
        <f>SUM(F168)</f>
        <v>0</v>
      </c>
      <c r="G167" s="28" t="e">
        <f t="shared" si="7"/>
        <v>#DIV/0!</v>
      </c>
    </row>
    <row r="168" spans="1:7" s="69" customFormat="1" ht="60" customHeight="1" hidden="1">
      <c r="A168" s="30"/>
      <c r="B168" s="36"/>
      <c r="C168" s="216">
        <v>6207</v>
      </c>
      <c r="D168" s="32" t="s">
        <v>350</v>
      </c>
      <c r="E168" s="67">
        <f>6DOCHODY!E809</f>
        <v>0</v>
      </c>
      <c r="F168" s="67">
        <f>6DOCHODY!F809</f>
        <v>0</v>
      </c>
      <c r="G168" s="40" t="e">
        <f t="shared" si="7"/>
        <v>#DIV/0!</v>
      </c>
    </row>
    <row r="169" spans="1:7" s="69" customFormat="1" ht="27.75" customHeight="1" hidden="1">
      <c r="A169" s="30"/>
      <c r="B169" s="36"/>
      <c r="C169" s="216"/>
      <c r="D169" s="32" t="s">
        <v>108</v>
      </c>
      <c r="E169" s="67"/>
      <c r="F169" s="67"/>
      <c r="G169" s="40" t="e">
        <f t="shared" si="7"/>
        <v>#DIV/0!</v>
      </c>
    </row>
    <row r="170" spans="1:7" s="210" customFormat="1" ht="27.75" customHeight="1">
      <c r="A170" s="18" t="s">
        <v>89</v>
      </c>
      <c r="B170" s="19"/>
      <c r="C170" s="219"/>
      <c r="D170" s="174" t="s">
        <v>812</v>
      </c>
      <c r="E170" s="220">
        <f>SUM(E171)</f>
        <v>2400</v>
      </c>
      <c r="F170" s="220">
        <f>SUM(F171)</f>
        <v>0</v>
      </c>
      <c r="G170" s="22">
        <f t="shared" si="7"/>
        <v>0</v>
      </c>
    </row>
    <row r="171" spans="1:7" s="69" customFormat="1" ht="24" customHeight="1">
      <c r="A171" s="30"/>
      <c r="B171" s="46" t="s">
        <v>93</v>
      </c>
      <c r="C171" s="214"/>
      <c r="D171" s="47" t="s">
        <v>176</v>
      </c>
      <c r="E171" s="48">
        <f>SUM(E172)</f>
        <v>2400</v>
      </c>
      <c r="F171" s="48">
        <f>SUM(F172)</f>
        <v>0</v>
      </c>
      <c r="G171" s="28">
        <f t="shared" si="7"/>
        <v>0</v>
      </c>
    </row>
    <row r="172" spans="1:7" s="69" customFormat="1" ht="21" customHeight="1" thickBot="1">
      <c r="A172" s="30"/>
      <c r="B172" s="36"/>
      <c r="C172" s="63" t="s">
        <v>667</v>
      </c>
      <c r="D172" s="38" t="s">
        <v>666</v>
      </c>
      <c r="E172" s="67">
        <f>6DOCHODY!E852</f>
        <v>2400</v>
      </c>
      <c r="F172" s="67">
        <f>6DOCHODY!F852</f>
        <v>0</v>
      </c>
      <c r="G172" s="40">
        <f t="shared" si="7"/>
        <v>0</v>
      </c>
    </row>
    <row r="173" spans="1:7" s="245" customFormat="1" ht="21" customHeight="1" thickBot="1">
      <c r="A173" s="1468" t="s">
        <v>1039</v>
      </c>
      <c r="B173" s="1469"/>
      <c r="C173" s="1469"/>
      <c r="D173" s="1470"/>
      <c r="E173" s="242">
        <f>SUM(E7,E128)</f>
        <v>46192408</v>
      </c>
      <c r="F173" s="242">
        <f>SUM(F7,F128)</f>
        <v>24775708.319999997</v>
      </c>
      <c r="G173" s="243">
        <f t="shared" si="7"/>
        <v>53.63588821782142</v>
      </c>
    </row>
    <row r="174" spans="1:7" s="45" customFormat="1" ht="19.5" customHeight="1" hidden="1">
      <c r="A174" s="286"/>
      <c r="B174" s="286"/>
      <c r="C174" s="286"/>
      <c r="D174" s="287" t="s">
        <v>511</v>
      </c>
      <c r="E174" s="288">
        <v>46192408</v>
      </c>
      <c r="F174" s="288">
        <v>24775708.32</v>
      </c>
      <c r="G174" s="289"/>
    </row>
    <row r="175" spans="1:7" s="45" customFormat="1" ht="19.5" customHeight="1" hidden="1">
      <c r="A175" s="286"/>
      <c r="B175" s="286"/>
      <c r="C175" s="286"/>
      <c r="D175" s="287" t="s">
        <v>1117</v>
      </c>
      <c r="E175" s="290">
        <f>E174-E173</f>
        <v>0</v>
      </c>
      <c r="F175" s="290">
        <f>F174-F173</f>
        <v>0</v>
      </c>
      <c r="G175" s="289"/>
    </row>
    <row r="176" spans="1:7" s="35" customFormat="1" ht="19.5" customHeight="1">
      <c r="A176" s="291"/>
      <c r="B176" s="291"/>
      <c r="C176" s="291"/>
      <c r="D176" s="292"/>
      <c r="E176" s="186"/>
      <c r="F176" s="293"/>
      <c r="G176" s="294"/>
    </row>
    <row r="177" spans="1:6" ht="19.5" customHeight="1">
      <c r="A177" s="185"/>
      <c r="B177" s="185"/>
      <c r="C177" s="185"/>
      <c r="D177" s="295"/>
      <c r="E177" s="296"/>
      <c r="F177" s="296"/>
    </row>
    <row r="178" spans="1:6" ht="19.5" customHeight="1">
      <c r="A178" s="185"/>
      <c r="B178" s="185"/>
      <c r="C178" s="185"/>
      <c r="D178" s="298"/>
      <c r="E178" s="299"/>
      <c r="F178" s="300"/>
    </row>
    <row r="179" spans="1:6" ht="19.5" customHeight="1">
      <c r="A179" s="185"/>
      <c r="B179" s="185"/>
      <c r="C179" s="185"/>
      <c r="D179" s="298"/>
      <c r="E179" s="299"/>
      <c r="F179" s="300"/>
    </row>
    <row r="180" spans="1:6" ht="19.5" customHeight="1">
      <c r="A180" s="185"/>
      <c r="B180" s="185"/>
      <c r="C180" s="185"/>
      <c r="D180" s="298"/>
      <c r="E180" s="299"/>
      <c r="F180" s="300"/>
    </row>
    <row r="181" spans="1:6" ht="19.5" customHeight="1">
      <c r="A181" s="185"/>
      <c r="B181" s="185"/>
      <c r="C181" s="185"/>
      <c r="D181" s="298"/>
      <c r="E181" s="299"/>
      <c r="F181" s="300"/>
    </row>
    <row r="182" spans="1:6" ht="19.5" customHeight="1">
      <c r="A182" s="185"/>
      <c r="B182" s="185"/>
      <c r="C182" s="185"/>
      <c r="D182" s="298"/>
      <c r="E182" s="299"/>
      <c r="F182" s="300"/>
    </row>
    <row r="183" spans="1:6" ht="19.5" customHeight="1">
      <c r="A183" s="185"/>
      <c r="B183" s="185"/>
      <c r="C183" s="185"/>
      <c r="D183" s="298"/>
      <c r="E183" s="299"/>
      <c r="F183" s="300"/>
    </row>
    <row r="184" spans="1:6" ht="19.5" customHeight="1">
      <c r="A184" s="185"/>
      <c r="B184" s="185"/>
      <c r="C184" s="185"/>
      <c r="D184" s="298"/>
      <c r="E184" s="299"/>
      <c r="F184" s="300"/>
    </row>
    <row r="185" spans="1:6" ht="19.5" customHeight="1">
      <c r="A185" s="185"/>
      <c r="B185" s="185"/>
      <c r="C185" s="185"/>
      <c r="D185" s="298"/>
      <c r="E185" s="299"/>
      <c r="F185" s="300"/>
    </row>
    <row r="186" spans="1:6" ht="19.5" customHeight="1">
      <c r="A186" s="185"/>
      <c r="B186" s="185"/>
      <c r="C186" s="185"/>
      <c r="D186" s="298"/>
      <c r="E186" s="299"/>
      <c r="F186" s="300"/>
    </row>
    <row r="187" spans="1:6" ht="19.5" customHeight="1">
      <c r="A187" s="185"/>
      <c r="B187" s="185"/>
      <c r="C187" s="185"/>
      <c r="D187" s="298"/>
      <c r="E187" s="299"/>
      <c r="F187" s="300"/>
    </row>
    <row r="188" spans="1:6" ht="19.5" customHeight="1">
      <c r="A188" s="185"/>
      <c r="B188" s="185"/>
      <c r="C188" s="185"/>
      <c r="D188" s="298"/>
      <c r="E188" s="299"/>
      <c r="F188" s="300"/>
    </row>
    <row r="189" spans="1:6" ht="19.5" customHeight="1">
      <c r="A189" s="185"/>
      <c r="B189" s="185"/>
      <c r="C189" s="185"/>
      <c r="D189" s="298"/>
      <c r="E189" s="299"/>
      <c r="F189" s="300"/>
    </row>
    <row r="190" spans="1:6" ht="19.5" customHeight="1">
      <c r="A190" s="185"/>
      <c r="B190" s="185"/>
      <c r="C190" s="185"/>
      <c r="D190" s="298"/>
      <c r="E190" s="299"/>
      <c r="F190" s="300"/>
    </row>
    <row r="191" spans="1:6" ht="19.5" customHeight="1">
      <c r="A191" s="185"/>
      <c r="B191" s="185"/>
      <c r="C191" s="185"/>
      <c r="D191" s="298"/>
      <c r="E191" s="299"/>
      <c r="F191" s="300"/>
    </row>
    <row r="192" spans="1:6" ht="19.5" customHeight="1">
      <c r="A192" s="185"/>
      <c r="B192" s="185"/>
      <c r="C192" s="185"/>
      <c r="D192" s="298"/>
      <c r="E192" s="299"/>
      <c r="F192" s="300"/>
    </row>
    <row r="193" spans="1:6" ht="19.5" customHeight="1">
      <c r="A193" s="185"/>
      <c r="B193" s="185"/>
      <c r="C193" s="185"/>
      <c r="D193" s="298"/>
      <c r="E193" s="299"/>
      <c r="F193" s="300"/>
    </row>
    <row r="194" spans="1:6" ht="19.5" customHeight="1">
      <c r="A194" s="185"/>
      <c r="B194" s="185"/>
      <c r="C194" s="185"/>
      <c r="D194" s="298"/>
      <c r="E194" s="299"/>
      <c r="F194" s="300"/>
    </row>
    <row r="195" spans="1:6" ht="19.5" customHeight="1">
      <c r="A195" s="185"/>
      <c r="B195" s="185"/>
      <c r="C195" s="185"/>
      <c r="D195" s="298"/>
      <c r="E195" s="299"/>
      <c r="F195" s="300"/>
    </row>
    <row r="196" spans="1:6" ht="19.5" customHeight="1">
      <c r="A196" s="185"/>
      <c r="B196" s="185"/>
      <c r="C196" s="185"/>
      <c r="D196" s="298"/>
      <c r="E196" s="299"/>
      <c r="F196" s="300"/>
    </row>
    <row r="197" spans="1:6" ht="19.5" customHeight="1">
      <c r="A197" s="185"/>
      <c r="B197" s="185"/>
      <c r="C197" s="185"/>
      <c r="D197" s="298"/>
      <c r="E197" s="299"/>
      <c r="F197" s="300"/>
    </row>
    <row r="198" spans="1:6" ht="19.5" customHeight="1">
      <c r="A198" s="185"/>
      <c r="B198" s="185"/>
      <c r="C198" s="185"/>
      <c r="D198" s="298"/>
      <c r="E198" s="299"/>
      <c r="F198" s="300"/>
    </row>
    <row r="199" spans="1:6" ht="19.5" customHeight="1">
      <c r="A199" s="185"/>
      <c r="B199" s="185"/>
      <c r="C199" s="185"/>
      <c r="D199" s="298"/>
      <c r="E199" s="299"/>
      <c r="F199" s="300"/>
    </row>
    <row r="200" spans="1:6" ht="19.5" customHeight="1">
      <c r="A200" s="185"/>
      <c r="B200" s="185"/>
      <c r="C200" s="185"/>
      <c r="D200" s="298"/>
      <c r="E200" s="299"/>
      <c r="F200" s="300"/>
    </row>
    <row r="201" spans="1:6" ht="19.5" customHeight="1">
      <c r="A201" s="185"/>
      <c r="B201" s="185"/>
      <c r="C201" s="185"/>
      <c r="D201" s="298"/>
      <c r="E201" s="299"/>
      <c r="F201" s="300"/>
    </row>
    <row r="202" spans="1:6" ht="19.5" customHeight="1">
      <c r="A202" s="185"/>
      <c r="B202" s="185"/>
      <c r="C202" s="185"/>
      <c r="D202" s="298"/>
      <c r="E202" s="299"/>
      <c r="F202" s="300"/>
    </row>
    <row r="203" spans="1:6" ht="19.5" customHeight="1">
      <c r="A203" s="185"/>
      <c r="B203" s="185"/>
      <c r="C203" s="185"/>
      <c r="D203" s="298"/>
      <c r="E203" s="299"/>
      <c r="F203" s="300"/>
    </row>
    <row r="204" spans="1:6" ht="19.5" customHeight="1">
      <c r="A204" s="185"/>
      <c r="B204" s="185"/>
      <c r="C204" s="185"/>
      <c r="D204" s="298"/>
      <c r="E204" s="299"/>
      <c r="F204" s="300"/>
    </row>
    <row r="205" spans="1:6" ht="19.5" customHeight="1">
      <c r="A205" s="185"/>
      <c r="B205" s="185"/>
      <c r="C205" s="185"/>
      <c r="D205" s="298"/>
      <c r="E205" s="299"/>
      <c r="F205" s="300"/>
    </row>
    <row r="206" spans="1:6" ht="19.5" customHeight="1">
      <c r="A206" s="185"/>
      <c r="B206" s="185"/>
      <c r="C206" s="185"/>
      <c r="D206" s="298"/>
      <c r="E206" s="299"/>
      <c r="F206" s="300"/>
    </row>
    <row r="207" spans="1:6" ht="19.5" customHeight="1">
      <c r="A207" s="185"/>
      <c r="B207" s="185"/>
      <c r="C207" s="185"/>
      <c r="D207" s="298"/>
      <c r="E207" s="299"/>
      <c r="F207" s="300"/>
    </row>
    <row r="208" spans="1:6" ht="19.5" customHeight="1">
      <c r="A208" s="185"/>
      <c r="B208" s="185"/>
      <c r="C208" s="185"/>
      <c r="D208" s="298"/>
      <c r="E208" s="299"/>
      <c r="F208" s="300"/>
    </row>
    <row r="209" spans="1:6" ht="19.5" customHeight="1">
      <c r="A209" s="185"/>
      <c r="B209" s="185"/>
      <c r="C209" s="185"/>
      <c r="D209" s="298"/>
      <c r="E209" s="299"/>
      <c r="F209" s="300"/>
    </row>
    <row r="210" spans="1:6" ht="19.5" customHeight="1">
      <c r="A210" s="185"/>
      <c r="B210" s="185"/>
      <c r="C210" s="185"/>
      <c r="D210" s="298"/>
      <c r="E210" s="299"/>
      <c r="F210" s="300"/>
    </row>
    <row r="211" spans="1:6" ht="19.5" customHeight="1">
      <c r="A211" s="185"/>
      <c r="B211" s="185"/>
      <c r="C211" s="185"/>
      <c r="D211" s="298"/>
      <c r="E211" s="299"/>
      <c r="F211" s="300"/>
    </row>
    <row r="212" spans="1:6" ht="19.5" customHeight="1">
      <c r="A212" s="185"/>
      <c r="B212" s="185"/>
      <c r="C212" s="185"/>
      <c r="D212" s="298"/>
      <c r="E212" s="299"/>
      <c r="F212" s="300"/>
    </row>
    <row r="213" spans="1:6" ht="19.5" customHeight="1">
      <c r="A213" s="185"/>
      <c r="B213" s="185"/>
      <c r="C213" s="185"/>
      <c r="D213" s="298"/>
      <c r="E213" s="299"/>
      <c r="F213" s="300"/>
    </row>
    <row r="214" spans="1:6" ht="19.5" customHeight="1">
      <c r="A214" s="185"/>
      <c r="B214" s="185"/>
      <c r="C214" s="185"/>
      <c r="D214" s="298"/>
      <c r="E214" s="299"/>
      <c r="F214" s="300"/>
    </row>
    <row r="215" spans="1:6" ht="19.5" customHeight="1">
      <c r="A215" s="185"/>
      <c r="B215" s="185"/>
      <c r="C215" s="185"/>
      <c r="D215" s="298"/>
      <c r="E215" s="299"/>
      <c r="F215" s="300"/>
    </row>
    <row r="216" spans="1:6" ht="19.5" customHeight="1">
      <c r="A216" s="185"/>
      <c r="B216" s="185"/>
      <c r="C216" s="185"/>
      <c r="D216" s="298"/>
      <c r="E216" s="299"/>
      <c r="F216" s="300"/>
    </row>
    <row r="217" spans="1:6" ht="19.5" customHeight="1">
      <c r="A217" s="185"/>
      <c r="B217" s="185"/>
      <c r="C217" s="185"/>
      <c r="D217" s="298"/>
      <c r="E217" s="299"/>
      <c r="F217" s="300"/>
    </row>
    <row r="218" spans="1:6" ht="19.5" customHeight="1">
      <c r="A218" s="185"/>
      <c r="B218" s="185"/>
      <c r="C218" s="185"/>
      <c r="D218" s="298"/>
      <c r="E218" s="299"/>
      <c r="F218" s="300"/>
    </row>
    <row r="219" spans="1:6" ht="19.5" customHeight="1">
      <c r="A219" s="185"/>
      <c r="B219" s="185"/>
      <c r="C219" s="185"/>
      <c r="D219" s="298"/>
      <c r="E219" s="299"/>
      <c r="F219" s="300"/>
    </row>
    <row r="220" spans="1:6" ht="19.5" customHeight="1">
      <c r="A220" s="185"/>
      <c r="B220" s="185"/>
      <c r="C220" s="185"/>
      <c r="D220" s="298"/>
      <c r="E220" s="299"/>
      <c r="F220" s="300"/>
    </row>
    <row r="221" spans="1:6" ht="19.5" customHeight="1">
      <c r="A221" s="185"/>
      <c r="B221" s="185"/>
      <c r="C221" s="185"/>
      <c r="D221" s="298"/>
      <c r="E221" s="299"/>
      <c r="F221" s="300"/>
    </row>
    <row r="222" spans="1:6" ht="19.5" customHeight="1">
      <c r="A222" s="185"/>
      <c r="B222" s="185"/>
      <c r="C222" s="185"/>
      <c r="D222" s="298"/>
      <c r="E222" s="299"/>
      <c r="F222" s="300"/>
    </row>
    <row r="223" spans="1:6" ht="19.5" customHeight="1">
      <c r="A223" s="185"/>
      <c r="B223" s="185"/>
      <c r="C223" s="185"/>
      <c r="D223" s="298"/>
      <c r="E223" s="299"/>
      <c r="F223" s="300"/>
    </row>
    <row r="224" spans="1:6" ht="19.5" customHeight="1">
      <c r="A224" s="185"/>
      <c r="B224" s="185"/>
      <c r="C224" s="185"/>
      <c r="D224" s="298"/>
      <c r="E224" s="299"/>
      <c r="F224" s="300"/>
    </row>
    <row r="225" spans="1:6" ht="19.5" customHeight="1">
      <c r="A225" s="185"/>
      <c r="B225" s="185"/>
      <c r="C225" s="185"/>
      <c r="D225" s="298"/>
      <c r="E225" s="299"/>
      <c r="F225" s="300"/>
    </row>
    <row r="226" spans="1:6" ht="19.5" customHeight="1">
      <c r="A226" s="185"/>
      <c r="B226" s="185"/>
      <c r="C226" s="185"/>
      <c r="D226" s="298"/>
      <c r="E226" s="299"/>
      <c r="F226" s="300"/>
    </row>
    <row r="227" spans="1:6" ht="19.5" customHeight="1">
      <c r="A227" s="185"/>
      <c r="B227" s="185"/>
      <c r="C227" s="185"/>
      <c r="D227" s="298"/>
      <c r="E227" s="299"/>
      <c r="F227" s="300"/>
    </row>
    <row r="228" spans="1:6" ht="19.5" customHeight="1">
      <c r="A228" s="185"/>
      <c r="B228" s="185"/>
      <c r="C228" s="185"/>
      <c r="D228" s="298"/>
      <c r="E228" s="299"/>
      <c r="F228" s="300"/>
    </row>
    <row r="229" spans="1:6" ht="19.5" customHeight="1">
      <c r="A229" s="185"/>
      <c r="B229" s="185"/>
      <c r="C229" s="185"/>
      <c r="D229" s="298"/>
      <c r="E229" s="299"/>
      <c r="F229" s="300"/>
    </row>
    <row r="230" spans="1:6" ht="19.5" customHeight="1">
      <c r="A230" s="185"/>
      <c r="B230" s="185"/>
      <c r="C230" s="185"/>
      <c r="D230" s="298"/>
      <c r="E230" s="299"/>
      <c r="F230" s="300"/>
    </row>
    <row r="231" spans="1:6" ht="19.5" customHeight="1">
      <c r="A231" s="185"/>
      <c r="B231" s="185"/>
      <c r="C231" s="185"/>
      <c r="D231" s="298"/>
      <c r="E231" s="299"/>
      <c r="F231" s="300"/>
    </row>
    <row r="232" spans="1:6" ht="19.5" customHeight="1">
      <c r="A232" s="185"/>
      <c r="B232" s="185"/>
      <c r="C232" s="185"/>
      <c r="D232" s="298"/>
      <c r="E232" s="299"/>
      <c r="F232" s="300"/>
    </row>
    <row r="233" spans="1:6" ht="19.5" customHeight="1">
      <c r="A233" s="185"/>
      <c r="B233" s="185"/>
      <c r="C233" s="185"/>
      <c r="D233" s="298"/>
      <c r="E233" s="299"/>
      <c r="F233" s="300"/>
    </row>
    <row r="234" spans="1:6" ht="19.5" customHeight="1">
      <c r="A234" s="185"/>
      <c r="B234" s="185"/>
      <c r="C234" s="185"/>
      <c r="D234" s="298"/>
      <c r="E234" s="299"/>
      <c r="F234" s="300"/>
    </row>
    <row r="235" spans="1:6" ht="19.5" customHeight="1">
      <c r="A235" s="185"/>
      <c r="B235" s="185"/>
      <c r="C235" s="185"/>
      <c r="D235" s="298"/>
      <c r="E235" s="299"/>
      <c r="F235" s="300"/>
    </row>
    <row r="236" spans="1:6" ht="19.5" customHeight="1">
      <c r="A236" s="185"/>
      <c r="B236" s="185"/>
      <c r="C236" s="185"/>
      <c r="D236" s="298"/>
      <c r="E236" s="299"/>
      <c r="F236" s="300"/>
    </row>
    <row r="237" spans="1:6" ht="19.5" customHeight="1">
      <c r="A237" s="185"/>
      <c r="B237" s="185"/>
      <c r="C237" s="185"/>
      <c r="D237" s="298"/>
      <c r="E237" s="299"/>
      <c r="F237" s="300"/>
    </row>
    <row r="238" spans="1:6" ht="19.5" customHeight="1">
      <c r="A238" s="185"/>
      <c r="B238" s="185"/>
      <c r="C238" s="185"/>
      <c r="D238" s="298"/>
      <c r="E238" s="299"/>
      <c r="F238" s="300"/>
    </row>
    <row r="239" spans="1:6" ht="19.5" customHeight="1">
      <c r="A239" s="185"/>
      <c r="B239" s="185"/>
      <c r="C239" s="185"/>
      <c r="D239" s="298"/>
      <c r="E239" s="299"/>
      <c r="F239" s="300"/>
    </row>
    <row r="240" spans="1:6" ht="19.5" customHeight="1">
      <c r="A240" s="185"/>
      <c r="B240" s="185"/>
      <c r="C240" s="185"/>
      <c r="D240" s="298"/>
      <c r="E240" s="299"/>
      <c r="F240" s="300"/>
    </row>
    <row r="241" spans="1:6" ht="19.5" customHeight="1">
      <c r="A241" s="185"/>
      <c r="B241" s="185"/>
      <c r="C241" s="185"/>
      <c r="D241" s="298"/>
      <c r="E241" s="299"/>
      <c r="F241" s="300"/>
    </row>
    <row r="242" spans="1:6" ht="19.5" customHeight="1">
      <c r="A242" s="185"/>
      <c r="B242" s="185"/>
      <c r="C242" s="185"/>
      <c r="D242" s="298"/>
      <c r="E242" s="299"/>
      <c r="F242" s="300"/>
    </row>
    <row r="243" spans="1:6" ht="19.5" customHeight="1">
      <c r="A243" s="185"/>
      <c r="B243" s="185"/>
      <c r="C243" s="185"/>
      <c r="D243" s="298"/>
      <c r="E243" s="299"/>
      <c r="F243" s="300"/>
    </row>
    <row r="244" spans="1:6" ht="19.5" customHeight="1">
      <c r="A244" s="185"/>
      <c r="B244" s="185"/>
      <c r="C244" s="185"/>
      <c r="D244" s="298"/>
      <c r="E244" s="299"/>
      <c r="F244" s="300"/>
    </row>
    <row r="245" spans="1:6" ht="19.5" customHeight="1">
      <c r="A245" s="185"/>
      <c r="B245" s="185"/>
      <c r="C245" s="185"/>
      <c r="D245" s="298"/>
      <c r="E245" s="299"/>
      <c r="F245" s="300"/>
    </row>
    <row r="246" spans="1:6" ht="19.5" customHeight="1">
      <c r="A246" s="185"/>
      <c r="B246" s="185"/>
      <c r="C246" s="185"/>
      <c r="D246" s="298"/>
      <c r="E246" s="299"/>
      <c r="F246" s="300"/>
    </row>
    <row r="247" spans="1:6" ht="19.5" customHeight="1">
      <c r="A247" s="185"/>
      <c r="B247" s="185"/>
      <c r="C247" s="185"/>
      <c r="D247" s="298"/>
      <c r="E247" s="299"/>
      <c r="F247" s="300"/>
    </row>
    <row r="248" spans="1:6" ht="19.5" customHeight="1">
      <c r="A248" s="185"/>
      <c r="B248" s="185"/>
      <c r="C248" s="185"/>
      <c r="D248" s="298"/>
      <c r="E248" s="299"/>
      <c r="F248" s="300"/>
    </row>
    <row r="249" spans="1:6" ht="19.5" customHeight="1">
      <c r="A249" s="185"/>
      <c r="B249" s="185"/>
      <c r="C249" s="185"/>
      <c r="D249" s="298"/>
      <c r="E249" s="299"/>
      <c r="F249" s="300"/>
    </row>
    <row r="250" spans="1:6" ht="19.5" customHeight="1">
      <c r="A250" s="185"/>
      <c r="B250" s="185"/>
      <c r="C250" s="185"/>
      <c r="D250" s="298"/>
      <c r="E250" s="299"/>
      <c r="F250" s="300"/>
    </row>
    <row r="251" spans="1:6" ht="19.5" customHeight="1">
      <c r="A251" s="185"/>
      <c r="B251" s="185"/>
      <c r="C251" s="185"/>
      <c r="D251" s="298"/>
      <c r="E251" s="299"/>
      <c r="F251" s="300"/>
    </row>
    <row r="252" spans="1:6" ht="19.5" customHeight="1">
      <c r="A252" s="185"/>
      <c r="B252" s="185"/>
      <c r="C252" s="185"/>
      <c r="D252" s="298"/>
      <c r="E252" s="299"/>
      <c r="F252" s="300"/>
    </row>
    <row r="253" spans="1:6" ht="19.5" customHeight="1">
      <c r="A253" s="185"/>
      <c r="B253" s="185"/>
      <c r="C253" s="185"/>
      <c r="D253" s="298"/>
      <c r="E253" s="299"/>
      <c r="F253" s="300"/>
    </row>
    <row r="254" spans="1:6" ht="19.5" customHeight="1">
      <c r="A254" s="185"/>
      <c r="B254" s="185"/>
      <c r="C254" s="185"/>
      <c r="D254" s="298"/>
      <c r="E254" s="299"/>
      <c r="F254" s="300"/>
    </row>
    <row r="255" spans="1:6" ht="19.5" customHeight="1">
      <c r="A255" s="185"/>
      <c r="B255" s="185"/>
      <c r="C255" s="185"/>
      <c r="D255" s="298"/>
      <c r="E255" s="299"/>
      <c r="F255" s="300"/>
    </row>
    <row r="256" spans="1:6" ht="19.5" customHeight="1">
      <c r="A256" s="185"/>
      <c r="B256" s="185"/>
      <c r="C256" s="185"/>
      <c r="D256" s="298"/>
      <c r="E256" s="299"/>
      <c r="F256" s="300"/>
    </row>
    <row r="257" spans="1:6" ht="19.5" customHeight="1">
      <c r="A257" s="185"/>
      <c r="B257" s="185"/>
      <c r="C257" s="185"/>
      <c r="D257" s="298"/>
      <c r="E257" s="299"/>
      <c r="F257" s="300"/>
    </row>
    <row r="258" spans="1:6" ht="19.5" customHeight="1">
      <c r="A258" s="185"/>
      <c r="B258" s="185"/>
      <c r="C258" s="185"/>
      <c r="D258" s="298"/>
      <c r="E258" s="299"/>
      <c r="F258" s="300"/>
    </row>
    <row r="259" spans="1:6" ht="19.5" customHeight="1">
      <c r="A259" s="185"/>
      <c r="B259" s="185"/>
      <c r="C259" s="185"/>
      <c r="D259" s="298"/>
      <c r="E259" s="299"/>
      <c r="F259" s="300"/>
    </row>
    <row r="260" spans="1:6" ht="19.5" customHeight="1">
      <c r="A260" s="185"/>
      <c r="B260" s="185"/>
      <c r="C260" s="185"/>
      <c r="D260" s="298"/>
      <c r="E260" s="299"/>
      <c r="F260" s="300"/>
    </row>
    <row r="261" spans="1:6" ht="19.5" customHeight="1">
      <c r="A261" s="185"/>
      <c r="B261" s="185"/>
      <c r="C261" s="185"/>
      <c r="D261" s="298"/>
      <c r="E261" s="299"/>
      <c r="F261" s="300"/>
    </row>
    <row r="262" spans="1:6" ht="19.5" customHeight="1">
      <c r="A262" s="185"/>
      <c r="B262" s="185"/>
      <c r="C262" s="185"/>
      <c r="D262" s="298"/>
      <c r="E262" s="299"/>
      <c r="F262" s="300"/>
    </row>
    <row r="263" spans="1:6" ht="19.5" customHeight="1">
      <c r="A263" s="185"/>
      <c r="B263" s="185"/>
      <c r="C263" s="185"/>
      <c r="D263" s="298"/>
      <c r="E263" s="194"/>
      <c r="F263" s="300"/>
    </row>
    <row r="264" spans="1:6" ht="19.5" customHeight="1">
      <c r="A264" s="185"/>
      <c r="B264" s="185"/>
      <c r="C264" s="185"/>
      <c r="D264" s="298"/>
      <c r="E264" s="194"/>
      <c r="F264" s="300"/>
    </row>
    <row r="265" spans="1:6" ht="19.5" customHeight="1">
      <c r="A265" s="185"/>
      <c r="B265" s="185"/>
      <c r="C265" s="185"/>
      <c r="D265" s="298"/>
      <c r="E265" s="194"/>
      <c r="F265" s="300"/>
    </row>
    <row r="266" spans="1:6" ht="19.5" customHeight="1">
      <c r="A266" s="185"/>
      <c r="B266" s="185"/>
      <c r="C266" s="185"/>
      <c r="D266" s="298"/>
      <c r="E266" s="194"/>
      <c r="F266" s="300"/>
    </row>
    <row r="267" spans="1:6" ht="19.5" customHeight="1">
      <c r="A267" s="185"/>
      <c r="B267" s="185"/>
      <c r="C267" s="185"/>
      <c r="D267" s="298"/>
      <c r="E267" s="194"/>
      <c r="F267" s="300"/>
    </row>
    <row r="268" spans="1:6" ht="19.5" customHeight="1">
      <c r="A268" s="185"/>
      <c r="B268" s="185"/>
      <c r="C268" s="185"/>
      <c r="D268" s="298"/>
      <c r="E268" s="194"/>
      <c r="F268" s="300"/>
    </row>
    <row r="269" spans="1:6" ht="19.5" customHeight="1">
      <c r="A269" s="185"/>
      <c r="B269" s="185"/>
      <c r="C269" s="185"/>
      <c r="D269" s="298"/>
      <c r="E269" s="194"/>
      <c r="F269" s="300"/>
    </row>
    <row r="270" spans="1:6" ht="19.5" customHeight="1">
      <c r="A270" s="185"/>
      <c r="B270" s="185"/>
      <c r="C270" s="185"/>
      <c r="D270" s="298"/>
      <c r="E270" s="194"/>
      <c r="F270" s="300"/>
    </row>
    <row r="271" spans="1:6" ht="19.5" customHeight="1">
      <c r="A271" s="185"/>
      <c r="B271" s="185"/>
      <c r="C271" s="185"/>
      <c r="D271" s="298"/>
      <c r="E271" s="194"/>
      <c r="F271" s="300"/>
    </row>
    <row r="272" spans="1:6" ht="19.5" customHeight="1">
      <c r="A272" s="185"/>
      <c r="B272" s="185"/>
      <c r="C272" s="185"/>
      <c r="D272" s="298"/>
      <c r="E272" s="194"/>
      <c r="F272" s="300"/>
    </row>
    <row r="273" spans="1:6" ht="19.5" customHeight="1">
      <c r="A273" s="185"/>
      <c r="B273" s="185"/>
      <c r="C273" s="185"/>
      <c r="D273" s="298"/>
      <c r="E273" s="194"/>
      <c r="F273" s="300"/>
    </row>
    <row r="274" spans="1:6" ht="19.5" customHeight="1">
      <c r="A274" s="185"/>
      <c r="B274" s="185"/>
      <c r="C274" s="185"/>
      <c r="D274" s="298"/>
      <c r="E274" s="194"/>
      <c r="F274" s="300"/>
    </row>
    <row r="275" spans="1:6" ht="19.5" customHeight="1">
      <c r="A275" s="185"/>
      <c r="B275" s="185"/>
      <c r="C275" s="185"/>
      <c r="D275" s="298"/>
      <c r="E275" s="194"/>
      <c r="F275" s="300"/>
    </row>
    <row r="276" spans="1:6" ht="19.5" customHeight="1">
      <c r="A276" s="185"/>
      <c r="B276" s="185"/>
      <c r="C276" s="185"/>
      <c r="D276" s="298"/>
      <c r="E276" s="194"/>
      <c r="F276" s="300"/>
    </row>
    <row r="277" spans="1:6" ht="19.5" customHeight="1">
      <c r="A277" s="185"/>
      <c r="B277" s="185"/>
      <c r="C277" s="185"/>
      <c r="D277" s="298"/>
      <c r="E277" s="194"/>
      <c r="F277" s="300"/>
    </row>
    <row r="278" spans="1:6" ht="19.5" customHeight="1">
      <c r="A278" s="185"/>
      <c r="B278" s="185"/>
      <c r="C278" s="185"/>
      <c r="D278" s="298"/>
      <c r="E278" s="194"/>
      <c r="F278" s="300"/>
    </row>
    <row r="279" spans="1:6" ht="19.5" customHeight="1">
      <c r="A279" s="185"/>
      <c r="B279" s="185"/>
      <c r="C279" s="185"/>
      <c r="D279" s="298"/>
      <c r="E279" s="194"/>
      <c r="F279" s="300"/>
    </row>
    <row r="280" spans="1:6" ht="19.5" customHeight="1">
      <c r="A280" s="185"/>
      <c r="B280" s="185"/>
      <c r="C280" s="185"/>
      <c r="D280" s="298"/>
      <c r="E280" s="194"/>
      <c r="F280" s="300"/>
    </row>
    <row r="281" spans="1:6" ht="19.5" customHeight="1">
      <c r="A281" s="185"/>
      <c r="B281" s="185"/>
      <c r="C281" s="185"/>
      <c r="D281" s="298"/>
      <c r="E281" s="194"/>
      <c r="F281" s="300"/>
    </row>
    <row r="282" spans="1:6" ht="19.5" customHeight="1">
      <c r="A282" s="185"/>
      <c r="B282" s="185"/>
      <c r="C282" s="185"/>
      <c r="D282" s="298"/>
      <c r="E282" s="194"/>
      <c r="F282" s="300"/>
    </row>
    <row r="283" spans="1:6" ht="19.5" customHeight="1">
      <c r="A283" s="185"/>
      <c r="B283" s="185"/>
      <c r="C283" s="185"/>
      <c r="D283" s="298"/>
      <c r="E283" s="194"/>
      <c r="F283" s="300"/>
    </row>
    <row r="284" spans="1:6" ht="19.5" customHeight="1">
      <c r="A284" s="185"/>
      <c r="B284" s="185"/>
      <c r="C284" s="185"/>
      <c r="D284" s="298"/>
      <c r="E284" s="194"/>
      <c r="F284" s="300"/>
    </row>
    <row r="285" spans="1:6" ht="19.5" customHeight="1">
      <c r="A285" s="185"/>
      <c r="B285" s="185"/>
      <c r="C285" s="185"/>
      <c r="D285" s="298"/>
      <c r="E285" s="194"/>
      <c r="F285" s="300"/>
    </row>
    <row r="286" spans="1:6" ht="19.5" customHeight="1">
      <c r="A286" s="185"/>
      <c r="B286" s="185"/>
      <c r="C286" s="185"/>
      <c r="D286" s="298"/>
      <c r="E286" s="194"/>
      <c r="F286" s="300"/>
    </row>
    <row r="287" spans="1:6" ht="19.5" customHeight="1">
      <c r="A287" s="185"/>
      <c r="B287" s="185"/>
      <c r="C287" s="185"/>
      <c r="D287" s="298"/>
      <c r="E287" s="194"/>
      <c r="F287" s="300"/>
    </row>
    <row r="288" spans="1:6" ht="19.5" customHeight="1">
      <c r="A288" s="185"/>
      <c r="B288" s="185"/>
      <c r="C288" s="185"/>
      <c r="D288" s="298"/>
      <c r="E288" s="194"/>
      <c r="F288" s="300"/>
    </row>
    <row r="289" spans="1:6" ht="19.5" customHeight="1">
      <c r="A289" s="185"/>
      <c r="B289" s="185"/>
      <c r="C289" s="185"/>
      <c r="D289" s="298"/>
      <c r="E289" s="194"/>
      <c r="F289" s="300"/>
    </row>
    <row r="290" spans="1:6" ht="19.5" customHeight="1">
      <c r="A290" s="185"/>
      <c r="B290" s="185"/>
      <c r="C290" s="185"/>
      <c r="D290" s="298"/>
      <c r="E290" s="194"/>
      <c r="F290" s="300"/>
    </row>
    <row r="291" spans="1:6" ht="19.5" customHeight="1">
      <c r="A291" s="185"/>
      <c r="B291" s="185"/>
      <c r="C291" s="185"/>
      <c r="D291" s="298"/>
      <c r="E291" s="194"/>
      <c r="F291" s="300"/>
    </row>
    <row r="292" spans="1:5" ht="19.5" customHeight="1">
      <c r="A292" s="185"/>
      <c r="B292" s="185"/>
      <c r="C292" s="185"/>
      <c r="D292" s="298"/>
      <c r="E292" s="194"/>
    </row>
    <row r="293" spans="1:5" ht="19.5" customHeight="1">
      <c r="A293" s="185"/>
      <c r="B293" s="185"/>
      <c r="C293" s="185"/>
      <c r="D293" s="298"/>
      <c r="E293" s="194"/>
    </row>
    <row r="294" spans="1:5" ht="19.5" customHeight="1">
      <c r="A294" s="185"/>
      <c r="B294" s="185"/>
      <c r="C294" s="185"/>
      <c r="D294" s="298"/>
      <c r="E294" s="194"/>
    </row>
    <row r="295" spans="1:5" ht="19.5" customHeight="1">
      <c r="A295" s="185"/>
      <c r="B295" s="185"/>
      <c r="C295" s="185"/>
      <c r="D295" s="298"/>
      <c r="E295" s="194"/>
    </row>
    <row r="296" spans="1:5" ht="19.5" customHeight="1">
      <c r="A296" s="185"/>
      <c r="B296" s="185"/>
      <c r="C296" s="185"/>
      <c r="D296" s="298"/>
      <c r="E296" s="194"/>
    </row>
    <row r="297" spans="1:5" ht="19.5" customHeight="1">
      <c r="A297" s="185"/>
      <c r="B297" s="185"/>
      <c r="C297" s="185"/>
      <c r="D297" s="298"/>
      <c r="E297" s="194"/>
    </row>
    <row r="298" spans="1:5" ht="19.5" customHeight="1">
      <c r="A298" s="185"/>
      <c r="B298" s="185"/>
      <c r="C298" s="185"/>
      <c r="D298" s="298"/>
      <c r="E298" s="194"/>
    </row>
    <row r="299" spans="1:5" ht="19.5" customHeight="1">
      <c r="A299" s="185"/>
      <c r="B299" s="185"/>
      <c r="C299" s="185"/>
      <c r="D299" s="298"/>
      <c r="E299" s="194"/>
    </row>
    <row r="300" spans="1:5" ht="19.5" customHeight="1">
      <c r="A300" s="185"/>
      <c r="B300" s="185"/>
      <c r="C300" s="185"/>
      <c r="D300" s="298"/>
      <c r="E300" s="194"/>
    </row>
    <row r="301" spans="1:5" ht="19.5" customHeight="1">
      <c r="A301" s="185"/>
      <c r="B301" s="185"/>
      <c r="C301" s="185"/>
      <c r="D301" s="298"/>
      <c r="E301" s="194"/>
    </row>
    <row r="302" spans="1:5" ht="19.5" customHeight="1">
      <c r="A302" s="185"/>
      <c r="B302" s="185"/>
      <c r="C302" s="185"/>
      <c r="D302" s="298"/>
      <c r="E302" s="194"/>
    </row>
    <row r="303" spans="1:5" ht="19.5" customHeight="1">
      <c r="A303" s="185"/>
      <c r="B303" s="185"/>
      <c r="C303" s="185"/>
      <c r="D303" s="298"/>
      <c r="E303" s="194"/>
    </row>
    <row r="304" spans="1:5" ht="19.5" customHeight="1">
      <c r="A304" s="185"/>
      <c r="B304" s="185"/>
      <c r="C304" s="185"/>
      <c r="D304" s="298"/>
      <c r="E304" s="194"/>
    </row>
    <row r="305" spans="1:5" ht="19.5" customHeight="1">
      <c r="A305" s="185"/>
      <c r="B305" s="185"/>
      <c r="C305" s="185"/>
      <c r="D305" s="298"/>
      <c r="E305" s="194"/>
    </row>
    <row r="306" spans="1:5" ht="19.5" customHeight="1">
      <c r="A306" s="185"/>
      <c r="B306" s="185"/>
      <c r="C306" s="185"/>
      <c r="D306" s="298"/>
      <c r="E306" s="194"/>
    </row>
    <row r="307" spans="1:5" ht="19.5" customHeight="1">
      <c r="A307" s="185"/>
      <c r="B307" s="185"/>
      <c r="C307" s="185"/>
      <c r="D307" s="298"/>
      <c r="E307" s="194"/>
    </row>
    <row r="308" spans="1:5" ht="19.5" customHeight="1">
      <c r="A308" s="185"/>
      <c r="B308" s="185"/>
      <c r="C308" s="185"/>
      <c r="D308" s="298"/>
      <c r="E308" s="194"/>
    </row>
    <row r="309" spans="1:5" ht="19.5" customHeight="1">
      <c r="A309" s="185"/>
      <c r="B309" s="185"/>
      <c r="C309" s="185"/>
      <c r="D309" s="298"/>
      <c r="E309" s="194"/>
    </row>
    <row r="310" spans="1:5" ht="19.5" customHeight="1">
      <c r="A310" s="185"/>
      <c r="B310" s="185"/>
      <c r="C310" s="185"/>
      <c r="D310" s="298"/>
      <c r="E310" s="194"/>
    </row>
    <row r="311" spans="1:5" ht="19.5" customHeight="1">
      <c r="A311" s="185"/>
      <c r="B311" s="185"/>
      <c r="C311" s="185"/>
      <c r="D311" s="298"/>
      <c r="E311" s="194"/>
    </row>
    <row r="312" spans="1:5" ht="19.5" customHeight="1">
      <c r="A312" s="185"/>
      <c r="B312" s="185"/>
      <c r="C312" s="185"/>
      <c r="D312" s="298"/>
      <c r="E312" s="194"/>
    </row>
    <row r="313" spans="1:5" ht="19.5" customHeight="1">
      <c r="A313" s="185"/>
      <c r="B313" s="185"/>
      <c r="C313" s="185"/>
      <c r="D313" s="298"/>
      <c r="E313" s="194"/>
    </row>
    <row r="314" spans="1:5" ht="19.5" customHeight="1">
      <c r="A314" s="185"/>
      <c r="B314" s="185"/>
      <c r="C314" s="185"/>
      <c r="D314" s="298"/>
      <c r="E314" s="194"/>
    </row>
    <row r="315" spans="1:5" ht="19.5" customHeight="1">
      <c r="A315" s="185"/>
      <c r="B315" s="185"/>
      <c r="C315" s="185"/>
      <c r="D315" s="298"/>
      <c r="E315" s="194"/>
    </row>
    <row r="316" spans="1:5" ht="19.5" customHeight="1">
      <c r="A316" s="185"/>
      <c r="B316" s="185"/>
      <c r="C316" s="185"/>
      <c r="D316" s="298"/>
      <c r="E316" s="194"/>
    </row>
    <row r="317" spans="1:5" ht="19.5" customHeight="1">
      <c r="A317" s="185"/>
      <c r="B317" s="185"/>
      <c r="C317" s="185"/>
      <c r="D317" s="298"/>
      <c r="E317" s="194"/>
    </row>
    <row r="318" spans="1:5" ht="19.5" customHeight="1">
      <c r="A318" s="185"/>
      <c r="B318" s="185"/>
      <c r="C318" s="185"/>
      <c r="D318" s="298"/>
      <c r="E318" s="194"/>
    </row>
    <row r="319" spans="1:5" ht="19.5" customHeight="1">
      <c r="A319" s="185"/>
      <c r="B319" s="185"/>
      <c r="C319" s="185"/>
      <c r="D319" s="298"/>
      <c r="E319" s="194"/>
    </row>
    <row r="320" spans="1:5" ht="19.5" customHeight="1">
      <c r="A320" s="185"/>
      <c r="B320" s="185"/>
      <c r="C320" s="185"/>
      <c r="D320" s="298"/>
      <c r="E320" s="194"/>
    </row>
    <row r="321" spans="1:5" ht="19.5" customHeight="1">
      <c r="A321" s="185"/>
      <c r="B321" s="185"/>
      <c r="C321" s="185"/>
      <c r="D321" s="298"/>
      <c r="E321" s="194"/>
    </row>
    <row r="322" spans="1:5" ht="19.5" customHeight="1">
      <c r="A322" s="185"/>
      <c r="B322" s="185"/>
      <c r="C322" s="185"/>
      <c r="D322" s="298"/>
      <c r="E322" s="194"/>
    </row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</sheetData>
  <sheetProtection password="CF53" sheet="1" formatCells="0" formatColumns="0" formatRows="0" insertColumns="0" insertRows="0" insertHyperlinks="0" deleteColumns="0" deleteRows="0" sort="0" autoFilter="0" pivotTables="0"/>
  <mergeCells count="5">
    <mergeCell ref="F1:G1"/>
    <mergeCell ref="A3:G3"/>
    <mergeCell ref="A7:D7"/>
    <mergeCell ref="A173:D173"/>
    <mergeCell ref="A128:D128"/>
  </mergeCells>
  <printOptions horizontalCentered="1"/>
  <pageMargins left="0.7874015748031497" right="0.35433070866141736" top="0.984251968503937" bottom="0.984251968503937" header="0.5118110236220472" footer="0.5118110236220472"/>
  <pageSetup errors="blank" firstPageNumber="33" useFirstPageNumber="1" horizontalDpi="300" verticalDpi="3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I186"/>
  <sheetViews>
    <sheetView view="pageBreakPreview" zoomScale="136" zoomScaleSheetLayoutView="136" zoomScalePageLayoutView="0" workbookViewId="0" topLeftCell="A1">
      <pane ySplit="6" topLeftCell="A7" activePane="bottomLeft" state="frozen"/>
      <selection pane="topLeft" activeCell="I244" sqref="I244"/>
      <selection pane="bottomLeft" activeCell="J24" sqref="J24"/>
    </sheetView>
  </sheetViews>
  <sheetFormatPr defaultColWidth="9.00390625" defaultRowHeight="12.75"/>
  <cols>
    <col min="1" max="1" width="45.125" style="394" customWidth="1"/>
    <col min="2" max="2" width="13.125" style="394" customWidth="1"/>
    <col min="3" max="3" width="13.00390625" style="394" customWidth="1"/>
    <col min="4" max="4" width="7.125" style="394" customWidth="1"/>
    <col min="5" max="5" width="7.75390625" style="394" customWidth="1"/>
    <col min="6" max="6" width="29.00390625" style="479" hidden="1" customWidth="1"/>
    <col min="7" max="7" width="13.625" style="394" hidden="1" customWidth="1"/>
    <col min="8" max="11" width="9.125" style="394" customWidth="1"/>
    <col min="12" max="16384" width="9.125" style="394" customWidth="1"/>
  </cols>
  <sheetData>
    <row r="1" spans="1:6" ht="12.75">
      <c r="A1" s="396"/>
      <c r="B1" s="396"/>
      <c r="D1" s="1479" t="s">
        <v>1093</v>
      </c>
      <c r="E1" s="1479"/>
      <c r="F1" s="408"/>
    </row>
    <row r="2" spans="1:6" ht="13.5" customHeight="1">
      <c r="A2" s="396"/>
      <c r="B2" s="396"/>
      <c r="F2" s="408"/>
    </row>
    <row r="3" spans="1:6" s="395" customFormat="1" ht="12.75">
      <c r="A3" s="1480" t="s">
        <v>786</v>
      </c>
      <c r="B3" s="1480"/>
      <c r="C3" s="1480"/>
      <c r="D3" s="1480"/>
      <c r="E3" s="1480"/>
      <c r="F3" s="409"/>
    </row>
    <row r="4" spans="4:6" s="395" customFormat="1" ht="13.5" thickBot="1">
      <c r="D4" s="393"/>
      <c r="E4" s="393" t="s">
        <v>169</v>
      </c>
      <c r="F4" s="409"/>
    </row>
    <row r="5" spans="1:6" ht="26.25" customHeight="1">
      <c r="A5" s="397" t="s">
        <v>197</v>
      </c>
      <c r="B5" s="398" t="s">
        <v>172</v>
      </c>
      <c r="C5" s="399" t="s">
        <v>173</v>
      </c>
      <c r="D5" s="400" t="s">
        <v>637</v>
      </c>
      <c r="E5" s="401" t="s">
        <v>118</v>
      </c>
      <c r="F5" s="408"/>
    </row>
    <row r="6" spans="1:6" s="407" customFormat="1" ht="12.75" customHeight="1" thickBot="1">
      <c r="A6" s="402">
        <v>1</v>
      </c>
      <c r="B6" s="403">
        <v>2</v>
      </c>
      <c r="C6" s="404">
        <v>3</v>
      </c>
      <c r="D6" s="405">
        <v>4</v>
      </c>
      <c r="E6" s="406">
        <v>5</v>
      </c>
      <c r="F6" s="410"/>
    </row>
    <row r="7" spans="1:6" s="407" customFormat="1" ht="8.25" customHeight="1">
      <c r="A7" s="411"/>
      <c r="B7" s="412"/>
      <c r="C7" s="413"/>
      <c r="D7" s="413"/>
      <c r="E7" s="414"/>
      <c r="F7" s="410"/>
    </row>
    <row r="8" spans="1:6" ht="12.75">
      <c r="A8" s="415" t="s">
        <v>867</v>
      </c>
      <c r="B8" s="416">
        <f>SUM(B10,B20,B33,B37,B39,B43)</f>
        <v>200759511</v>
      </c>
      <c r="C8" s="417">
        <f>SUM(C10,C20,C33,C37,C39,C43)</f>
        <v>109028700.44999999</v>
      </c>
      <c r="D8" s="418">
        <f>C8/B8*100</f>
        <v>54.30811218204252</v>
      </c>
      <c r="E8" s="419">
        <f>C8/$C$84*100</f>
        <v>66.8828755912714</v>
      </c>
      <c r="F8" s="408" t="s">
        <v>831</v>
      </c>
    </row>
    <row r="9" spans="1:6" ht="6.75" customHeight="1">
      <c r="A9" s="420"/>
      <c r="B9" s="421"/>
      <c r="C9" s="421"/>
      <c r="D9" s="422"/>
      <c r="E9" s="423"/>
      <c r="F9" s="408"/>
    </row>
    <row r="10" spans="1:7" ht="12.75">
      <c r="A10" s="420" t="s">
        <v>868</v>
      </c>
      <c r="B10" s="421">
        <f>SUM(B11:B18)</f>
        <v>78712600</v>
      </c>
      <c r="C10" s="421">
        <f>SUM(C11:C18)</f>
        <v>41798736.120000005</v>
      </c>
      <c r="D10" s="422">
        <f aca="true" t="shared" si="0" ref="D10:D18">C10/B10*100</f>
        <v>53.10297985328906</v>
      </c>
      <c r="E10" s="423">
        <f aca="true" t="shared" si="1" ref="E10:E17">C10/$C$84*100</f>
        <v>25.641135373051604</v>
      </c>
      <c r="F10" s="408" t="s">
        <v>831</v>
      </c>
      <c r="G10" s="424">
        <f>SUM(C10,C20)</f>
        <v>54351467.06</v>
      </c>
    </row>
    <row r="11" spans="1:6" ht="12.75">
      <c r="A11" s="425" t="s">
        <v>203</v>
      </c>
      <c r="B11" s="426">
        <f>SUM(6DOCHODY!E216+6DOCHODY!E227)</f>
        <v>73300000</v>
      </c>
      <c r="C11" s="426">
        <f>SUM(6DOCHODY!F216+6DOCHODY!F227)</f>
        <v>38547936.2</v>
      </c>
      <c r="D11" s="427">
        <f t="shared" si="0"/>
        <v>52.58927175989086</v>
      </c>
      <c r="E11" s="428">
        <f t="shared" si="1"/>
        <v>23.64695543947362</v>
      </c>
      <c r="F11" s="408" t="s">
        <v>728</v>
      </c>
    </row>
    <row r="12" spans="1:6" ht="12.75">
      <c r="A12" s="425" t="s">
        <v>204</v>
      </c>
      <c r="B12" s="426">
        <f>SUM(6DOCHODY!E217,6DOCHODY!E228)</f>
        <v>62000</v>
      </c>
      <c r="C12" s="426">
        <f>SUM(6DOCHODY!F217,6DOCHODY!F228)</f>
        <v>31675.97</v>
      </c>
      <c r="D12" s="427">
        <f t="shared" si="0"/>
        <v>51.09027419354839</v>
      </c>
      <c r="E12" s="428">
        <f t="shared" si="1"/>
        <v>0.019431396980783194</v>
      </c>
      <c r="F12" s="408" t="s">
        <v>729</v>
      </c>
    </row>
    <row r="13" spans="1:6" ht="12.75">
      <c r="A13" s="425" t="s">
        <v>205</v>
      </c>
      <c r="B13" s="426">
        <f>SUM(6DOCHODY!E218,6DOCHODY!E229)</f>
        <v>150600</v>
      </c>
      <c r="C13" s="426">
        <f>SUM(6DOCHODY!F218,6DOCHODY!F229)</f>
        <v>77876.33</v>
      </c>
      <c r="D13" s="427">
        <f t="shared" si="0"/>
        <v>51.71071049136786</v>
      </c>
      <c r="E13" s="428">
        <f t="shared" si="1"/>
        <v>0.04777267700520223</v>
      </c>
      <c r="F13" s="408" t="s">
        <v>730</v>
      </c>
    </row>
    <row r="14" spans="1:6" ht="12.75">
      <c r="A14" s="425" t="s">
        <v>206</v>
      </c>
      <c r="B14" s="426">
        <f>SUM(6DOCHODY!E219,6DOCHODY!E230)</f>
        <v>550000</v>
      </c>
      <c r="C14" s="426">
        <f>SUM(6DOCHODY!F219,6DOCHODY!F230)</f>
        <v>265709.13</v>
      </c>
      <c r="D14" s="427">
        <f t="shared" si="0"/>
        <v>48.31075090909091</v>
      </c>
      <c r="E14" s="428">
        <f t="shared" si="1"/>
        <v>0.16299736318883143</v>
      </c>
      <c r="F14" s="408" t="s">
        <v>731</v>
      </c>
    </row>
    <row r="15" spans="1:6" ht="25.5" customHeight="1">
      <c r="A15" s="429" t="s">
        <v>963</v>
      </c>
      <c r="B15" s="430">
        <f>SUM(6DOCHODY!E213)</f>
        <v>500000</v>
      </c>
      <c r="C15" s="430">
        <f>SUM(6DOCHODY!F213)</f>
        <v>139235.93</v>
      </c>
      <c r="D15" s="427">
        <f t="shared" si="0"/>
        <v>27.847185999999997</v>
      </c>
      <c r="E15" s="428">
        <f t="shared" si="1"/>
        <v>0.085413284259915</v>
      </c>
      <c r="F15" s="408" t="s">
        <v>732</v>
      </c>
    </row>
    <row r="16" spans="1:6" ht="12.75">
      <c r="A16" s="425" t="s">
        <v>207</v>
      </c>
      <c r="B16" s="426">
        <f>SUM(6DOCHODY!E231)</f>
        <v>200000</v>
      </c>
      <c r="C16" s="426">
        <f>SUM(6DOCHODY!F231)</f>
        <v>142732.26</v>
      </c>
      <c r="D16" s="427">
        <f t="shared" si="0"/>
        <v>71.36613</v>
      </c>
      <c r="E16" s="428">
        <f t="shared" si="1"/>
        <v>0.08755808286295137</v>
      </c>
      <c r="F16" s="408" t="s">
        <v>733</v>
      </c>
    </row>
    <row r="17" spans="1:6" ht="12.75">
      <c r="A17" s="425" t="s">
        <v>208</v>
      </c>
      <c r="B17" s="426">
        <f>SUM(6DOCHODY!E220,6DOCHODY!E235)</f>
        <v>3950000</v>
      </c>
      <c r="C17" s="426">
        <f>SUM(6DOCHODY!F220,6DOCHODY!F235)</f>
        <v>2581033.2</v>
      </c>
      <c r="D17" s="427">
        <f t="shared" si="0"/>
        <v>65.34261265822785</v>
      </c>
      <c r="E17" s="428">
        <f t="shared" si="1"/>
        <v>1.5833163350571802</v>
      </c>
      <c r="F17" s="408" t="s">
        <v>742</v>
      </c>
    </row>
    <row r="18" spans="1:6" ht="12.75">
      <c r="A18" s="425" t="s">
        <v>535</v>
      </c>
      <c r="B18" s="426">
        <f>SUM(6DOCHODY!E221,6DOCHODY!E236)</f>
        <v>0</v>
      </c>
      <c r="C18" s="426">
        <f>SUM(6DOCHODY!F221,6DOCHODY!F236)</f>
        <v>12537.1</v>
      </c>
      <c r="D18" s="427" t="e">
        <f t="shared" si="0"/>
        <v>#DIV/0!</v>
      </c>
      <c r="E18" s="428">
        <f>C18/$C$84*100</f>
        <v>0.0076907942231217215</v>
      </c>
      <c r="F18" s="408" t="s">
        <v>743</v>
      </c>
    </row>
    <row r="19" spans="1:6" ht="6" customHeight="1">
      <c r="A19" s="420"/>
      <c r="B19" s="421"/>
      <c r="C19" s="421"/>
      <c r="D19" s="422"/>
      <c r="E19" s="423"/>
      <c r="F19" s="408"/>
    </row>
    <row r="20" spans="1:6" ht="12.75">
      <c r="A20" s="420" t="s">
        <v>198</v>
      </c>
      <c r="B20" s="421">
        <f>SUM(B21:B31)</f>
        <v>24206237</v>
      </c>
      <c r="C20" s="421">
        <f>SUM(C21:C31)</f>
        <v>12552730.94</v>
      </c>
      <c r="D20" s="422">
        <f aca="true" t="shared" si="2" ref="D20:D31">C20/B20*100</f>
        <v>51.85742393582282</v>
      </c>
      <c r="E20" s="423">
        <f aca="true" t="shared" si="3" ref="E20:E31">C20/$C$84*100</f>
        <v>7.700382911339408</v>
      </c>
      <c r="F20" s="408" t="s">
        <v>831</v>
      </c>
    </row>
    <row r="21" spans="1:6" ht="12.75">
      <c r="A21" s="425" t="s">
        <v>638</v>
      </c>
      <c r="B21" s="426">
        <f>SUM(6DOCHODY!E534)</f>
        <v>0</v>
      </c>
      <c r="C21" s="426">
        <f>SUM(6DOCHODY!F534)</f>
        <v>1561.77</v>
      </c>
      <c r="D21" s="427" t="e">
        <f t="shared" si="2"/>
        <v>#DIV/0!</v>
      </c>
      <c r="E21" s="428">
        <f t="shared" si="3"/>
        <v>0.0009580566234491878</v>
      </c>
      <c r="F21" s="408" t="s">
        <v>736</v>
      </c>
    </row>
    <row r="22" spans="1:6" ht="12.75">
      <c r="A22" s="425" t="s">
        <v>209</v>
      </c>
      <c r="B22" s="426">
        <f>SUM(6DOCHODY!E242)</f>
        <v>300000</v>
      </c>
      <c r="C22" s="426">
        <f>SUM(6DOCHODY!F242)</f>
        <v>210886.24</v>
      </c>
      <c r="D22" s="427">
        <f t="shared" si="2"/>
        <v>70.29541333333333</v>
      </c>
      <c r="E22" s="428">
        <f t="shared" si="3"/>
        <v>0.1293666538775204</v>
      </c>
      <c r="F22" s="408" t="s">
        <v>737</v>
      </c>
    </row>
    <row r="23" spans="1:6" ht="12.75">
      <c r="A23" s="425" t="s">
        <v>210</v>
      </c>
      <c r="B23" s="426">
        <f>SUM(6DOCHODY!E688)</f>
        <v>580000</v>
      </c>
      <c r="C23" s="426">
        <f>SUM(6DOCHODY!F688)</f>
        <v>351056</v>
      </c>
      <c r="D23" s="427">
        <f t="shared" si="2"/>
        <v>60.52689655172414</v>
      </c>
      <c r="E23" s="428">
        <f t="shared" si="3"/>
        <v>0.21535278946424766</v>
      </c>
      <c r="F23" s="408" t="s">
        <v>738</v>
      </c>
    </row>
    <row r="24" spans="1:6" ht="12.75">
      <c r="A24" s="425" t="s">
        <v>1121</v>
      </c>
      <c r="B24" s="426">
        <f>SUM(6DOCHODY!E232)</f>
        <v>80000</v>
      </c>
      <c r="C24" s="426">
        <f>SUM(6DOCHODY!F232)</f>
        <v>61229.55</v>
      </c>
      <c r="D24" s="427">
        <f t="shared" si="2"/>
        <v>76.53693750000001</v>
      </c>
      <c r="E24" s="428">
        <f t="shared" si="3"/>
        <v>0.037560829013435534</v>
      </c>
      <c r="F24" s="408" t="s">
        <v>734</v>
      </c>
    </row>
    <row r="25" spans="1:6" ht="12.75">
      <c r="A25" s="425" t="s">
        <v>191</v>
      </c>
      <c r="B25" s="426">
        <f>SUM(6DOCHODY!E233)</f>
        <v>7000000</v>
      </c>
      <c r="C25" s="426">
        <f>SUM(6DOCHODY!F233)</f>
        <v>2721442.51</v>
      </c>
      <c r="D25" s="427">
        <f t="shared" si="2"/>
        <v>38.87775014285714</v>
      </c>
      <c r="E25" s="428">
        <f t="shared" si="3"/>
        <v>1.66944942087611</v>
      </c>
      <c r="F25" s="408" t="s">
        <v>735</v>
      </c>
    </row>
    <row r="26" spans="1:6" ht="12.75">
      <c r="A26" s="425" t="s">
        <v>361</v>
      </c>
      <c r="B26" s="426">
        <f>SUM(6DOCHODY!E234)</f>
        <v>600000</v>
      </c>
      <c r="C26" s="426">
        <f>SUM(6DOCHODY!F234)</f>
        <v>272572</v>
      </c>
      <c r="D26" s="427">
        <f t="shared" si="2"/>
        <v>45.428666666666665</v>
      </c>
      <c r="E26" s="428">
        <f t="shared" si="3"/>
        <v>0.16720734164876516</v>
      </c>
      <c r="F26" s="408" t="s">
        <v>739</v>
      </c>
    </row>
    <row r="27" spans="1:6" ht="12.75">
      <c r="A27" s="425" t="s">
        <v>1040</v>
      </c>
      <c r="B27" s="426">
        <f>SUM(6DOCHODY!E243)</f>
        <v>5000</v>
      </c>
      <c r="C27" s="426">
        <f>SUM(6DOCHODY!F243)</f>
        <v>2483.46</v>
      </c>
      <c r="D27" s="427">
        <f t="shared" si="2"/>
        <v>49.669200000000004</v>
      </c>
      <c r="E27" s="428">
        <f t="shared" si="3"/>
        <v>0.001523460754189874</v>
      </c>
      <c r="F27" s="408" t="s">
        <v>740</v>
      </c>
    </row>
    <row r="28" spans="1:6" ht="12.75">
      <c r="A28" s="425" t="s">
        <v>1042</v>
      </c>
      <c r="B28" s="426">
        <f>SUM(6DOCHODY!E244)</f>
        <v>2000000</v>
      </c>
      <c r="C28" s="426">
        <f>SUM(6DOCHODY!F244)</f>
        <v>1611275.73</v>
      </c>
      <c r="D28" s="427">
        <f t="shared" si="2"/>
        <v>80.5637865</v>
      </c>
      <c r="E28" s="428">
        <f t="shared" si="3"/>
        <v>0.9884255590320117</v>
      </c>
      <c r="F28" s="408" t="s">
        <v>741</v>
      </c>
    </row>
    <row r="29" spans="1:6" ht="12.75">
      <c r="A29" s="425" t="s">
        <v>803</v>
      </c>
      <c r="B29" s="426">
        <f>SUM(6DOCHODY!E38,6DOCHODY!E245,6DOCHODY!E492,6DOCHODY!E689)</f>
        <v>9217000</v>
      </c>
      <c r="C29" s="426">
        <f>SUM(6DOCHODY!F38,6DOCHODY!F245,6DOCHODY!F492,6DOCHODY!F689)</f>
        <v>5716313.6</v>
      </c>
      <c r="D29" s="427">
        <f t="shared" si="2"/>
        <v>62.01924270369968</v>
      </c>
      <c r="E29" s="428">
        <f t="shared" si="3"/>
        <v>3.5066316462684455</v>
      </c>
      <c r="F29" s="408" t="s">
        <v>745</v>
      </c>
    </row>
    <row r="30" spans="1:6" ht="12.75">
      <c r="A30" s="425" t="s">
        <v>1043</v>
      </c>
      <c r="B30" s="426">
        <f>SUM(6DOCHODY!E248,6DOCHODY!E690)</f>
        <v>11000</v>
      </c>
      <c r="C30" s="426">
        <f>SUM(6DOCHODY!F248,6DOCHODY!F690)</f>
        <v>6267.5</v>
      </c>
      <c r="D30" s="427">
        <f t="shared" si="2"/>
        <v>56.977272727272734</v>
      </c>
      <c r="E30" s="428">
        <f t="shared" si="3"/>
        <v>0.0038447529965793836</v>
      </c>
      <c r="F30" s="408" t="s">
        <v>744</v>
      </c>
    </row>
    <row r="31" spans="1:6" s="436" customFormat="1" ht="25.5">
      <c r="A31" s="431" t="s">
        <v>77</v>
      </c>
      <c r="B31" s="432">
        <f>SUM(6DOCHODY!E17,6DOCHODY!E42,6DOCHODY!E56,6DOCHODY!E96,6DOCHODY!E205,6DOCHODY!E223,6DOCHODY!E238,6DOCHODY!E250,6DOCHODY!E268,6DOCHODY!E284,6DOCHODY!E296,6DOCHODY!E297,6DOCHODY!E306,6DOCHODY!E313,6DOCHODY!E320,6DOCHODY!E380,6DOCHODY!E495,6DOCHODY!E529,6DOCHODY!E616,6DOCHODY!E664,6DOCHODY!E693,6DOCHODY!E768,6DOCHODY!E850,6DOCHODY!E130,6DOCHODY!E225,6DOCHODY!E729)+6DOCHODY!E692+6DOCHODY!E813</f>
        <v>4413237</v>
      </c>
      <c r="C31" s="432">
        <f>SUM(6DOCHODY!F17,6DOCHODY!F42,6DOCHODY!F56,6DOCHODY!F96,6DOCHODY!F205,6DOCHODY!F223,6DOCHODY!F238,6DOCHODY!F250,6DOCHODY!F268,6DOCHODY!F284,6DOCHODY!F296,6DOCHODY!F297,6DOCHODY!F306,6DOCHODY!F313,6DOCHODY!F320,6DOCHODY!F380,6DOCHODY!F495,6DOCHODY!F529,6DOCHODY!F616,6DOCHODY!F664,6DOCHODY!F693,6DOCHODY!F768,6DOCHODY!F850,6DOCHODY!F130,6DOCHODY!F225,6DOCHODY!F729)+6DOCHODY!F692+6DOCHODY!F813</f>
        <v>1597642.58</v>
      </c>
      <c r="D31" s="433">
        <f t="shared" si="2"/>
        <v>36.201150765299936</v>
      </c>
      <c r="E31" s="434">
        <f t="shared" si="3"/>
        <v>0.9800624007846539</v>
      </c>
      <c r="F31" s="435" t="s">
        <v>1408</v>
      </c>
    </row>
    <row r="32" spans="1:6" ht="4.5" customHeight="1">
      <c r="A32" s="420"/>
      <c r="B32" s="421"/>
      <c r="C32" s="421"/>
      <c r="D32" s="422"/>
      <c r="E32" s="423"/>
      <c r="F32" s="408"/>
    </row>
    <row r="33" spans="1:6" ht="25.5">
      <c r="A33" s="437" t="s">
        <v>280</v>
      </c>
      <c r="B33" s="421">
        <f>B34+B35</f>
        <v>48730158</v>
      </c>
      <c r="C33" s="421">
        <f>C34+C35</f>
        <v>21273460.6</v>
      </c>
      <c r="D33" s="422">
        <f>C33/B33*100</f>
        <v>43.6556364130812</v>
      </c>
      <c r="E33" s="423">
        <f>C33/$C$84*100</f>
        <v>13.050052076499954</v>
      </c>
      <c r="F33" s="408" t="s">
        <v>831</v>
      </c>
    </row>
    <row r="34" spans="1:6" ht="12.75">
      <c r="A34" s="425" t="s">
        <v>1044</v>
      </c>
      <c r="B34" s="426">
        <f>SUM(6DOCHODY!E257,6DOCHODY!E696)</f>
        <v>46700158</v>
      </c>
      <c r="C34" s="426">
        <f>SUM(6DOCHODY!F257,6DOCHODY!F696)</f>
        <v>21311845</v>
      </c>
      <c r="D34" s="427">
        <f>C34/B34*100</f>
        <v>45.63548799984788</v>
      </c>
      <c r="E34" s="428">
        <f>C34/$C$84*100</f>
        <v>13.073598711828538</v>
      </c>
      <c r="F34" s="408" t="s">
        <v>726</v>
      </c>
    </row>
    <row r="35" spans="1:6" ht="12.75">
      <c r="A35" s="425" t="s">
        <v>1045</v>
      </c>
      <c r="B35" s="426">
        <f>SUM(6DOCHODY!E258,6DOCHODY!E697)</f>
        <v>2030000</v>
      </c>
      <c r="C35" s="426">
        <f>SUM(6DOCHODY!F258,6DOCHODY!F697)</f>
        <v>-38384.4</v>
      </c>
      <c r="D35" s="427">
        <f>C35/B35*100</f>
        <v>-1.890857142857143</v>
      </c>
      <c r="E35" s="428">
        <f>C35/$C$84*100</f>
        <v>-0.023546635328584236</v>
      </c>
      <c r="F35" s="408" t="s">
        <v>727</v>
      </c>
    </row>
    <row r="36" spans="1:6" ht="3" customHeight="1">
      <c r="A36" s="420"/>
      <c r="B36" s="421"/>
      <c r="C36" s="421"/>
      <c r="D36" s="422"/>
      <c r="E36" s="423"/>
      <c r="F36" s="408"/>
    </row>
    <row r="37" spans="1:6" ht="12.75">
      <c r="A37" s="420" t="s">
        <v>909</v>
      </c>
      <c r="B37" s="421">
        <f>SUM(6DOCHODY!E12,6DOCHODY!E18,6DOCHODY!E43,6DOCHODY!E57,6DOCHODY!E67,6DOCHODY!E91,6DOCHODY!E92,6DOCHODY!E97,6DOCHODY!E98,6DOCHODY!E99,6DOCHODY!E131,6DOCHODY!E133,6DOCHODY!E184,6DOCHODY!E270,6DOCHODY!E496,6DOCHODY!E538,6DOCHODY!E540,6DOCHODY!E617,6DOCHODY!E620,6DOCHODY!E665,6DOCHODY!E730)+6DOCHODY!E852</f>
        <v>41185030</v>
      </c>
      <c r="C37" s="421">
        <f>SUM(6DOCHODY!F12,6DOCHODY!F18,6DOCHODY!F43,6DOCHODY!F57,6DOCHODY!F67,6DOCHODY!F91,6DOCHODY!F92,6DOCHODY!F97,6DOCHODY!F98,6DOCHODY!F99,6DOCHODY!F131,6DOCHODY!F133,6DOCHODY!F184,6DOCHODY!F270,6DOCHODY!F496,6DOCHODY!F538,6DOCHODY!F540,6DOCHODY!F617,6DOCHODY!F620,6DOCHODY!F665,6DOCHODY!F730)+6DOCHODY!F852</f>
        <v>30097614.47</v>
      </c>
      <c r="D37" s="422">
        <f>C37/B37*100</f>
        <v>73.07901553064305</v>
      </c>
      <c r="E37" s="423">
        <f>C37/$C$84*100</f>
        <v>18.463166082716157</v>
      </c>
      <c r="F37" s="408" t="s">
        <v>1328</v>
      </c>
    </row>
    <row r="38" spans="1:6" ht="3" customHeight="1">
      <c r="A38" s="420"/>
      <c r="B38" s="421"/>
      <c r="C38" s="421"/>
      <c r="D38" s="422"/>
      <c r="E38" s="423"/>
      <c r="F38" s="408"/>
    </row>
    <row r="39" spans="1:6" ht="15.75" customHeight="1">
      <c r="A39" s="420" t="s">
        <v>137</v>
      </c>
      <c r="B39" s="421">
        <f>SUM(B40,B41)</f>
        <v>177910</v>
      </c>
      <c r="C39" s="438">
        <f>SUM(C40,C41)</f>
        <v>754754.94</v>
      </c>
      <c r="D39" s="422">
        <f>C39/B39*100</f>
        <v>424.234129616098</v>
      </c>
      <c r="E39" s="423">
        <f>C39/$C$84*100</f>
        <v>0.4629990135218337</v>
      </c>
      <c r="F39" s="408" t="s">
        <v>831</v>
      </c>
    </row>
    <row r="40" spans="1:6" s="440" customFormat="1" ht="25.5" customHeight="1">
      <c r="A40" s="429" t="s">
        <v>138</v>
      </c>
      <c r="B40" s="430">
        <f>SUM(6DOCHODY!E271,6DOCHODY!E299,6DOCHODY!E355,6DOCHODY!E407,6DOCHODY!E435,6DOCHODY!E443,6DOCHODY!E707,6DOCHODY!E759)+6DOCHODY!E842+6DOCHODY!E853</f>
        <v>53410</v>
      </c>
      <c r="C40" s="430">
        <f>SUM(6DOCHODY!F271,6DOCHODY!F299,6DOCHODY!F355,6DOCHODY!F407,6DOCHODY!F435,6DOCHODY!F443,6DOCHODY!F707,6DOCHODY!F759)+6DOCHODY!F842+6DOCHODY!F853</f>
        <v>487610.85</v>
      </c>
      <c r="D40" s="439">
        <f>C40/B40*100</f>
        <v>912.9579666729077</v>
      </c>
      <c r="E40" s="428">
        <f>C40/$C$84*100</f>
        <v>0.29912138439603037</v>
      </c>
      <c r="F40" s="408" t="s">
        <v>724</v>
      </c>
    </row>
    <row r="41" spans="1:6" s="440" customFormat="1" ht="25.5" customHeight="1">
      <c r="A41" s="429" t="s">
        <v>617</v>
      </c>
      <c r="B41" s="430">
        <f>SUM(6DOCHODY!E13,6DOCHODY!E19,6DOCHODY!E44,6DOCHODY!E58,6DOCHODY!E68,6DOCHODY!E100,6DOCHODY!E121,6DOCHODY!E134,6DOCHODY!E135,6DOCHODY!E200,6DOCHODY!E206,6DOCHODY!E214,6DOCHODY!E224,6DOCHODY!E239,6DOCHODY!E240,6DOCHODY!E251,6DOCHODY!E252,6DOCHODY!E321,6DOCHODY!E332,6DOCHODY!E337,6DOCHODY!E341,6DOCHODY!E348,6DOCHODY!E361,6DOCHODY!E381,6DOCHODY!E416,6DOCHODY!E441,6DOCHODY!E465,6DOCHODY!E470,6DOCHODY!E482)+6DOCHODY!E488+6DOCHODY!E497+6DOCHODY!E519+6DOCHODY!E522+6DOCHODY!E530+6DOCHODY!E541+6DOCHODY!E542+6DOCHODY!E558+6DOCHODY!E590+6DOCHODY!E621+6DOCHODY!E647+6DOCHODY!E666+6DOCHODY!E694+6DOCHODY!E570+6DOCHODY!E460+6DOCHODY!E569+6DOCHODY!E744+6DOCHODY!E769+6DOCHODY!E745+6DOCHODY!E835+6DOCHODY!E151</f>
        <v>124500</v>
      </c>
      <c r="C41" s="430">
        <f>SUM(6DOCHODY!F13,6DOCHODY!F19,6DOCHODY!F44,6DOCHODY!F58,6DOCHODY!F68,6DOCHODY!F100,6DOCHODY!F121,6DOCHODY!F134,6DOCHODY!F135,6DOCHODY!F200,6DOCHODY!F206,6DOCHODY!F214,6DOCHODY!F224,6DOCHODY!F239,6DOCHODY!F240,6DOCHODY!F251,6DOCHODY!F252,6DOCHODY!F321,6DOCHODY!F332,6DOCHODY!F337,6DOCHODY!F341,6DOCHODY!F348,6DOCHODY!F361,6DOCHODY!F381,6DOCHODY!F416,6DOCHODY!F441,6DOCHODY!F465,6DOCHODY!F470,6DOCHODY!F482)+6DOCHODY!F488+6DOCHODY!F497+6DOCHODY!F519+6DOCHODY!F522+6DOCHODY!F530+6DOCHODY!F541+6DOCHODY!F542+6DOCHODY!F558+6DOCHODY!F590+6DOCHODY!F621+6DOCHODY!F647+6DOCHODY!F666+6DOCHODY!F694+6DOCHODY!F570+6DOCHODY!F460+6DOCHODY!F569+6DOCHODY!F744+6DOCHODY!F769+6DOCHODY!F745+6DOCHODY!F835+6DOCHODY!F151</f>
        <v>267144.09</v>
      </c>
      <c r="D41" s="427">
        <f>C41/B41*100</f>
        <v>214.57356626506026</v>
      </c>
      <c r="E41" s="428">
        <f>C41/$C$84*100</f>
        <v>0.16387762912580336</v>
      </c>
      <c r="F41" s="408" t="s">
        <v>725</v>
      </c>
    </row>
    <row r="42" spans="1:6" ht="2.25" customHeight="1">
      <c r="A42" s="420"/>
      <c r="B42" s="421"/>
      <c r="C42" s="421"/>
      <c r="D42" s="422"/>
      <c r="E42" s="423"/>
      <c r="F42" s="408"/>
    </row>
    <row r="43" spans="1:6" ht="18" customHeight="1">
      <c r="A43" s="437" t="s">
        <v>139</v>
      </c>
      <c r="B43" s="441">
        <f>SUM(B44,B45,B46,B47,B48,B49,B50,B51,B52)</f>
        <v>7747576</v>
      </c>
      <c r="C43" s="441">
        <f>SUM(C44,C45,C46,C47,C48,C49,C50,C51,C52)</f>
        <v>2551403.38</v>
      </c>
      <c r="D43" s="422">
        <f aca="true" t="shared" si="4" ref="D43:D52">C43/B43*100</f>
        <v>32.93163410078197</v>
      </c>
      <c r="E43" s="423">
        <f aca="true" t="shared" si="5" ref="E43:E52">C43/$C$84*100</f>
        <v>1.565140134142444</v>
      </c>
      <c r="F43" s="408" t="s">
        <v>831</v>
      </c>
    </row>
    <row r="44" spans="1:6" s="436" customFormat="1" ht="24.75" customHeight="1">
      <c r="A44" s="431" t="s">
        <v>668</v>
      </c>
      <c r="B44" s="442">
        <f>SUM(6DOCHODY!E10,6DOCHODY!E25,6DOCHODY!E26,6DOCHODY!E39,6DOCHODY!E40,6DOCHODY!E55,6DOCHODY!E65,6DOCHODY!E66,6DOCHODY!E73,6DOCHODY!E93,6DOCHODY!E94,6DOCHODY!E107,6DOCHODY!E113,6DOCHODY!E116,6DOCHODY!E119,6DOCHODY!E148,6DOCHODY!E149,6DOCHODY!E155,6DOCHODY!E182,6DOCHODY!E183,6DOCHODY!E203,6DOCHODY!E246,6DOCHODY!E247,6DOCHODY!E267,6DOCHODY!E282,6DOCHODY!E295,6DOCHODY!E305,6DOCHODY!E319)+6DOCHODY!E354+6DOCHODY!E425+6DOCHODY!E433+6DOCHODY!E506+6DOCHODY!E508+6DOCHODY!E509+6DOCHODY!E526+6DOCHODY!E527+6DOCHODY!E536+6DOCHODY!E537+6DOCHODY!E561+6DOCHODY!E562+6DOCHODY!E579+6DOCHODY!E580+6DOCHODY!E610+6DOCHODY!E614+6DOCHODY!E615+6DOCHODY!E645+6DOCHODY!E283+6DOCHODY!E493+6DOCHODY!E722+6DOCHODY!E754</f>
        <v>150000</v>
      </c>
      <c r="C44" s="442">
        <f>SUM(6DOCHODY!F10,6DOCHODY!F25,6DOCHODY!F26,6DOCHODY!F39,6DOCHODY!F40,6DOCHODY!F55,6DOCHODY!F65,6DOCHODY!F66,6DOCHODY!F73,6DOCHODY!F93,6DOCHODY!F94,6DOCHODY!F107,6DOCHODY!F113,6DOCHODY!F116,6DOCHODY!F119,6DOCHODY!F148,6DOCHODY!F149,6DOCHODY!F155,6DOCHODY!F182,6DOCHODY!F183,6DOCHODY!F203,6DOCHODY!F246,6DOCHODY!F247,6DOCHODY!F267,6DOCHODY!F282,6DOCHODY!F295,6DOCHODY!F305,6DOCHODY!F319)+6DOCHODY!F354+6DOCHODY!F425+6DOCHODY!F433+6DOCHODY!F506+6DOCHODY!F508+6DOCHODY!F509+6DOCHODY!F526+6DOCHODY!F527+6DOCHODY!F536+6DOCHODY!F537+6DOCHODY!F561+6DOCHODY!F562+6DOCHODY!F579+6DOCHODY!F580+6DOCHODY!F610+6DOCHODY!F614+6DOCHODY!F615+6DOCHODY!F645+6DOCHODY!F283+6DOCHODY!F493+6DOCHODY!F722+6DOCHODY!F754</f>
        <v>80509.2</v>
      </c>
      <c r="D44" s="433">
        <f t="shared" si="4"/>
        <v>53.672799999999995</v>
      </c>
      <c r="E44" s="434">
        <f t="shared" si="5"/>
        <v>0.049387792254042114</v>
      </c>
      <c r="F44" s="435" t="s">
        <v>749</v>
      </c>
    </row>
    <row r="45" spans="1:6" s="436" customFormat="1" ht="14.25" customHeight="1">
      <c r="A45" s="443" t="s">
        <v>1047</v>
      </c>
      <c r="B45" s="442">
        <f>SUM(6DOCHODY!E120,6DOCHODY!E132,6DOCHODY!E150,6DOCHODY!E269,6DOCHODY!E298,6DOCHODY!E415,6DOCHODY!E360,6DOCHODY!E364,6DOCHODY!E434,6DOCHODY!E539,6DOCHODY!E618,6DOCHODY!E646)+6DOCHODY!E640+6DOCHODY!E481</f>
        <v>1813188</v>
      </c>
      <c r="C45" s="442">
        <f>SUM(6DOCHODY!F120,6DOCHODY!F132,6DOCHODY!F150,6DOCHODY!F269,6DOCHODY!F298,6DOCHODY!F415,6DOCHODY!F360,6DOCHODY!F364,6DOCHODY!F434,6DOCHODY!F539,6DOCHODY!F618,6DOCHODY!F646)+6DOCHODY!F640+6DOCHODY!F481</f>
        <v>931194.2</v>
      </c>
      <c r="D45" s="433">
        <f t="shared" si="4"/>
        <v>51.35673741498399</v>
      </c>
      <c r="E45" s="434">
        <f t="shared" si="5"/>
        <v>0.5712344141758822</v>
      </c>
      <c r="F45" s="435" t="s">
        <v>748</v>
      </c>
    </row>
    <row r="46" spans="1:6" s="444" customFormat="1" ht="14.25" customHeight="1">
      <c r="A46" s="443" t="s">
        <v>114</v>
      </c>
      <c r="B46" s="433">
        <f>SUM(6DOCHODY!E126,6DOCHODY!E138,6DOCHODY!E367,6DOCHODY!E385,6DOCHODY!E418,6DOCHODY!E473,6DOCHODY!E477,6DOCHODY!E636,6DOCHODY!E676,6DOCHODY!E668)</f>
        <v>757755</v>
      </c>
      <c r="C46" s="433">
        <f>SUM(6DOCHODY!F126,6DOCHODY!F138,6DOCHODY!F367,6DOCHODY!F385,6DOCHODY!F418,6DOCHODY!F473,6DOCHODY!F477,6DOCHODY!F636,6DOCHODY!F676,6DOCHODY!F668)</f>
        <v>1208899.25</v>
      </c>
      <c r="D46" s="433">
        <f t="shared" si="4"/>
        <v>159.53695455655193</v>
      </c>
      <c r="E46" s="434">
        <f t="shared" si="5"/>
        <v>0.7415905885919536</v>
      </c>
      <c r="F46" s="435" t="s">
        <v>1166</v>
      </c>
    </row>
    <row r="47" spans="1:6" s="444" customFormat="1" ht="14.25" customHeight="1">
      <c r="A47" s="443" t="s">
        <v>37</v>
      </c>
      <c r="B47" s="433">
        <f>SUM(6DOCHODY!E794)</f>
        <v>104600</v>
      </c>
      <c r="C47" s="433">
        <f>SUM(6DOCHODY!F794)</f>
        <v>54000</v>
      </c>
      <c r="D47" s="433">
        <f t="shared" si="4"/>
        <v>51.625239005736134</v>
      </c>
      <c r="E47" s="434">
        <f t="shared" si="5"/>
        <v>0.03312591333311316</v>
      </c>
      <c r="F47" s="435" t="s">
        <v>747</v>
      </c>
    </row>
    <row r="48" spans="1:6" s="436" customFormat="1" ht="13.5" customHeight="1">
      <c r="A48" s="443" t="s">
        <v>1049</v>
      </c>
      <c r="B48" s="432">
        <f>SUM(6DOCHODY!E50,6DOCHODY!E51,6DOCHODY!E59,6DOCHODY!E61,6DOCHODY!E70,6DOCHODY!E79,6DOCHODY!E110,6DOCHODY!E139,6DOCHODY!E143)+6DOCHODY!E163+6DOCHODY!E164+6DOCHODY!E168+6DOCHODY!E192+6DOCHODY!E193+6DOCHODY!E195+6DOCHODY!E210+6DOCHODY!E290+6DOCHODY!E291+6DOCHODY!E311+6DOCHODY!E318+6DOCHODY!E325+6DOCHODY!E345+6DOCHODY!E430+6DOCHODY!E452+6DOCHODY!E501+6DOCHODY!E514+6DOCHODY!E546+6DOCHODY!E548+6DOCHODY!E549+6DOCHODY!E573+6DOCHODY!E585+6DOCHODY!E597+6DOCHODY!E611+6DOCHODY!E627+6DOCHODY!E628+6DOCHODY!E653+6DOCHODY!E726+6DOCHODY!E855+6DOCHODY!E737</f>
        <v>1804725</v>
      </c>
      <c r="C48" s="432">
        <f>SUM(6DOCHODY!F50,6DOCHODY!F51,6DOCHODY!F59,6DOCHODY!F61,6DOCHODY!F70,6DOCHODY!F79,6DOCHODY!F110,6DOCHODY!F139,6DOCHODY!F143)+6DOCHODY!F163+6DOCHODY!F164+6DOCHODY!F168+6DOCHODY!F192+6DOCHODY!F193+6DOCHODY!F195+6DOCHODY!F210+6DOCHODY!F290+6DOCHODY!F291+6DOCHODY!F311+6DOCHODY!F318+6DOCHODY!F325+6DOCHODY!F345+6DOCHODY!F430+6DOCHODY!F452+6DOCHODY!F501+6DOCHODY!F514+6DOCHODY!F546+6DOCHODY!F548+6DOCHODY!F549+6DOCHODY!F573+6DOCHODY!F585+6DOCHODY!F597+6DOCHODY!F611+6DOCHODY!F627+6DOCHODY!F628+6DOCHODY!F653+6DOCHODY!F726+6DOCHODY!F855+6DOCHODY!F737</f>
        <v>-579999.82</v>
      </c>
      <c r="D48" s="433">
        <f t="shared" si="4"/>
        <v>-32.13785036501406</v>
      </c>
      <c r="E48" s="434">
        <f t="shared" si="5"/>
        <v>-0.3557967364915043</v>
      </c>
      <c r="F48" s="435" t="s">
        <v>1214</v>
      </c>
    </row>
    <row r="49" spans="1:6" s="436" customFormat="1" ht="13.5" customHeight="1">
      <c r="A49" s="443" t="s">
        <v>1213</v>
      </c>
      <c r="B49" s="432">
        <f>SUM(6DOCHODY!E85,6DOCHODY!E201,6DOCHODY!E303,6DOCHODY!E315,6DOCHODY!E328,6DOCHODY!E334,6DOCHODY!E335,6DOCHODY!E339,6DOCHODY!E343,6DOCHODY!E344,6DOCHODY!E351,6DOCHODY!E371,6DOCHODY!E376,6DOCHODY!E386,6DOCHODY!E391,6DOCHODY!E398,6DOCHODY!E405,6DOCHODY!E421,6DOCHODY!E429,6DOCHODY!E450,6DOCHODY!E451,6DOCHODY!E467,6DOCHODY!E474,6DOCHODY!E479,6DOCHODY!E485,6DOCHODY!E520,6DOCHODY!E547,6DOCHODY!E554,6DOCHODY!E559,6DOCHODY!E593)+6DOCHODY!E563+6DOCHODY!E574+6DOCHODY!E575+6DOCHODY!E594+6DOCHODY!E746+6DOCHODY!E747+6DOCHODY!E749+6DOCHODY!E752+6DOCHODY!E763+6DOCHODY!E776+6DOCHODY!E779+6DOCHODY!E839</f>
        <v>105000</v>
      </c>
      <c r="C49" s="432">
        <f>SUM(6DOCHODY!F85,6DOCHODY!F201,6DOCHODY!F303,6DOCHODY!F315,6DOCHODY!F328,6DOCHODY!F334,6DOCHODY!F335,6DOCHODY!F339,6DOCHODY!F343,6DOCHODY!F344,6DOCHODY!F351,6DOCHODY!F371,6DOCHODY!F376,6DOCHODY!F386,6DOCHODY!F391,6DOCHODY!F398,6DOCHODY!F405,6DOCHODY!F421,6DOCHODY!F429,6DOCHODY!F450,6DOCHODY!F451,6DOCHODY!F467,6DOCHODY!F474,6DOCHODY!F479,6DOCHODY!F485,6DOCHODY!F520,6DOCHODY!F547,6DOCHODY!F554,6DOCHODY!F559,6DOCHODY!F593)+6DOCHODY!F563+6DOCHODY!F574+6DOCHODY!F575+6DOCHODY!F594+6DOCHODY!F746+6DOCHODY!F747+6DOCHODY!F749+6DOCHODY!F752+6DOCHODY!F763+6DOCHODY!F776+6DOCHODY!F779+6DOCHODY!F839</f>
        <v>136108.7</v>
      </c>
      <c r="D49" s="433">
        <f t="shared" si="4"/>
        <v>129.62733333333333</v>
      </c>
      <c r="E49" s="434">
        <f t="shared" si="5"/>
        <v>0.08349490740893888</v>
      </c>
      <c r="F49" s="435" t="s">
        <v>1447</v>
      </c>
    </row>
    <row r="50" spans="1:6" s="436" customFormat="1" ht="27" customHeight="1" hidden="1">
      <c r="A50" s="431" t="s">
        <v>1118</v>
      </c>
      <c r="B50" s="432">
        <f>6DOCHODY!E276+6DOCHODY!E302+6DOCHODY!E310+6DOCHODY!E709+6DOCHODY!E725</f>
        <v>0</v>
      </c>
      <c r="C50" s="432">
        <f>6DOCHODY!F276+6DOCHODY!F302+6DOCHODY!F310+6DOCHODY!F709+6DOCHODY!F725</f>
        <v>0</v>
      </c>
      <c r="D50" s="445" t="s">
        <v>799</v>
      </c>
      <c r="E50" s="434">
        <f t="shared" si="5"/>
        <v>0</v>
      </c>
      <c r="F50" s="435" t="s">
        <v>1216</v>
      </c>
    </row>
    <row r="51" spans="1:6" s="436" customFormat="1" ht="27" customHeight="1" hidden="1">
      <c r="A51" s="431" t="s">
        <v>746</v>
      </c>
      <c r="B51" s="432">
        <f>6DOCHODY!E84</f>
        <v>0</v>
      </c>
      <c r="C51" s="432">
        <f>6DOCHODY!F84</f>
        <v>0</v>
      </c>
      <c r="D51" s="433" t="s">
        <v>799</v>
      </c>
      <c r="E51" s="434">
        <f t="shared" si="5"/>
        <v>0</v>
      </c>
      <c r="F51" s="435" t="s">
        <v>1217</v>
      </c>
    </row>
    <row r="52" spans="1:6" s="436" customFormat="1" ht="13.5" customHeight="1">
      <c r="A52" s="443" t="s">
        <v>303</v>
      </c>
      <c r="B52" s="432">
        <f>SUM(6DOCHODY!E22,6DOCHODY!E27,6DOCHODY!E33,6DOCHODY!E41,6DOCHODY!E45,6DOCHODY!E46,6DOCHODY!E95,6DOCHODY!E69,6DOCHODY!E74,6DOCHODY!E101,6DOCHODY!E102,6DOCHODY!E103,6DOCHODY!E108,6DOCHODY!E114,6DOCHODY!E122,6DOCHODY!E128,6DOCHODY!E129,6DOCHODY!E136,6DOCHODY!E152,6DOCHODY!E156,6DOCHODY!E185)+6DOCHODY!E204+6DOCHODY!E186+6DOCHODY!E208+6DOCHODY!E222+6DOCHODY!E237+6DOCHODY!E249+6DOCHODY!E137+6DOCHODY!E254+6DOCHODY!E273+6DOCHODY!E255+6DOCHODY!E260+6DOCHODY!E274+6DOCHODY!E278+6DOCHODY!E279+6DOCHODY!E285+6DOCHODY!E307+6DOCHODY!E314+6DOCHODY!E333+6DOCHODY!E338+6DOCHODY!E342+6DOCHODY!E357+6DOCHODY!E359+6DOCHODY!E394+6DOCHODY!E362+6DOCHODY!E365+6DOCHODY!E369+6DOCHODY!E372+6DOCHODY!E374+6DOCHODY!E382+6DOCHODY!E388+6DOCHODY!E395+6DOCHODY!E400+6DOCHODY!E403+6DOCHODY!E408+6DOCHODY!E409+6DOCHODY!E413+6DOCHODY!E436+6DOCHODY!E442+6DOCHODY!E464+6DOCHODY!E469+6DOCHODY!E471+6DOCHODY!E487+6DOCHODY!E489+6DOCHODY!E498+6DOCHODY!E499+6DOCHODY!E517+6DOCHODY!E523+6DOCHODY!E524+6DOCHODY!E528+6DOCHODY!E531+6DOCHODY!E543+6DOCHODY!E544+6DOCHODY!E545+6DOCHODY!E553+6DOCHODY!E572+6DOCHODY!E581+6DOCHODY!E591+6DOCHODY!E592+6DOCHODY!E622+6DOCHODY!E623+6DOCHODY!E691+6DOCHODY!E708+6DOCHODY!E760+6DOCHODY!E711+6DOCHODY!E761+6DOCHODY!E770+6DOCHODY!E791+6DOCHODY!E793+6DOCHODY!E833+6DOCHODY!E834+6DOCHODY!E836+6DOCHODY!E838+6DOCHODY!E843+6DOCHODY!E848+6DOCHODY!E117+6DOCHODY!E439+6DOCHODY!E272+6DOCHODY!E300+6DOCHODY!E619+6DOCHODY!E648+6DOCHODY!E783+6DOCHODY!E674+6DOCHODY!E667+6DOCHODY!E510+6DOCHODY!E571+6DOCHODY!E356+6DOCHODY!E461+6DOCHODY!E532+6DOCHODY!E710+6DOCHODY!E736+6DOCHODY!E731+6DOCHODY!E814+6DOCHODY!E817+6DOCHODY!E828+6DOCHODY!E762+6DOCHODY!E767+6DOCHODY!E723+6DOCHODY!E758+6DOCHODY!E494+6DOCHODY!E841</f>
        <v>3012308</v>
      </c>
      <c r="C52" s="432">
        <f>SUM(6DOCHODY!F22,6DOCHODY!F27,6DOCHODY!F33,6DOCHODY!F41,6DOCHODY!F45,6DOCHODY!F46,6DOCHODY!F95,6DOCHODY!F69,6DOCHODY!F74,6DOCHODY!F101,6DOCHODY!F102,6DOCHODY!F103,6DOCHODY!F108,6DOCHODY!F114,6DOCHODY!F122,6DOCHODY!F128,6DOCHODY!F129,6DOCHODY!F136,6DOCHODY!F152,6DOCHODY!F156,6DOCHODY!F185)+6DOCHODY!F204+6DOCHODY!F186+6DOCHODY!F208+6DOCHODY!F222+6DOCHODY!F237+6DOCHODY!F249+6DOCHODY!F137+6DOCHODY!F254+6DOCHODY!F273+6DOCHODY!F255+6DOCHODY!F260+6DOCHODY!F274+6DOCHODY!F278+6DOCHODY!F279+6DOCHODY!F285+6DOCHODY!F307+6DOCHODY!F314+6DOCHODY!F333+6DOCHODY!F338+6DOCHODY!F342+6DOCHODY!F357+6DOCHODY!F359+6DOCHODY!F394+6DOCHODY!F362+6DOCHODY!F365+6DOCHODY!F369+6DOCHODY!F372+6DOCHODY!F374+6DOCHODY!F382+6DOCHODY!F388+6DOCHODY!F395+6DOCHODY!F400+6DOCHODY!F403+6DOCHODY!F408+6DOCHODY!F409+6DOCHODY!F413+6DOCHODY!F436+6DOCHODY!F442+6DOCHODY!F464+6DOCHODY!F469+6DOCHODY!F471+6DOCHODY!F487+6DOCHODY!F489+6DOCHODY!F498+6DOCHODY!F499+6DOCHODY!F517+6DOCHODY!F523+6DOCHODY!F524+6DOCHODY!F528+6DOCHODY!F531+6DOCHODY!F543+6DOCHODY!F544+6DOCHODY!F545+6DOCHODY!F553+6DOCHODY!F572+6DOCHODY!F581+6DOCHODY!F591+6DOCHODY!F592+6DOCHODY!F622+6DOCHODY!F623+6DOCHODY!F691+6DOCHODY!F708+6DOCHODY!F760+6DOCHODY!F711+6DOCHODY!F761+6DOCHODY!F770+6DOCHODY!F791+6DOCHODY!F793+6DOCHODY!F833+6DOCHODY!F834+6DOCHODY!F836+6DOCHODY!F838+6DOCHODY!F843+6DOCHODY!F848+6DOCHODY!F117+6DOCHODY!F439+6DOCHODY!F272+6DOCHODY!F300+6DOCHODY!F619+6DOCHODY!F648+6DOCHODY!F783+6DOCHODY!F674+6DOCHODY!F667+6DOCHODY!F510+6DOCHODY!F571+6DOCHODY!F356+6DOCHODY!F461+6DOCHODY!F532+6DOCHODY!F710+6DOCHODY!F736+6DOCHODY!F731+6DOCHODY!F814+6DOCHODY!F817+6DOCHODY!F828+6DOCHODY!F762+6DOCHODY!F767+6DOCHODY!F723+6DOCHODY!F758+6DOCHODY!F494+6DOCHODY!F841</f>
        <v>720691.85</v>
      </c>
      <c r="D52" s="433">
        <f t="shared" si="4"/>
        <v>23.92490575332934</v>
      </c>
      <c r="E52" s="434">
        <f t="shared" si="5"/>
        <v>0.4421032548700183</v>
      </c>
      <c r="F52" s="435" t="s">
        <v>1448</v>
      </c>
    </row>
    <row r="53" spans="1:6" s="448" customFormat="1" ht="13.5" customHeight="1">
      <c r="A53" s="446"/>
      <c r="B53" s="447"/>
      <c r="C53" s="447"/>
      <c r="D53" s="427"/>
      <c r="E53" s="428"/>
      <c r="F53" s="408"/>
    </row>
    <row r="54" spans="1:6" s="395" customFormat="1" ht="12.75">
      <c r="A54" s="449" t="s">
        <v>202</v>
      </c>
      <c r="B54" s="416">
        <f>SUM(B55,B56,B60,B61)</f>
        <v>68211228</v>
      </c>
      <c r="C54" s="416">
        <f>SUM(C55,C56,C60,C61)</f>
        <v>34760068</v>
      </c>
      <c r="D54" s="418">
        <f aca="true" t="shared" si="6" ref="D54:D61">C54/B54*100</f>
        <v>50.959452012797655</v>
      </c>
      <c r="E54" s="419">
        <f aca="true" t="shared" si="7" ref="E54:E61">C54/$C$84*100</f>
        <v>21.323314815205926</v>
      </c>
      <c r="F54" s="409"/>
    </row>
    <row r="55" spans="1:6" ht="12.75">
      <c r="A55" s="450" t="s">
        <v>1050</v>
      </c>
      <c r="B55" s="421">
        <f>SUM(6DOCHODY!E263,6DOCHODY!E700)</f>
        <v>33884982</v>
      </c>
      <c r="C55" s="421">
        <f>SUM(6DOCHODY!F263,6DOCHODY!F700)</f>
        <v>20852296</v>
      </c>
      <c r="D55" s="422">
        <f t="shared" si="6"/>
        <v>61.538459722363136</v>
      </c>
      <c r="E55" s="423">
        <f t="shared" si="7"/>
        <v>12.791691668378188</v>
      </c>
      <c r="F55" s="408"/>
    </row>
    <row r="56" spans="1:6" ht="12.75">
      <c r="A56" s="450" t="s">
        <v>1051</v>
      </c>
      <c r="B56" s="421">
        <f>SUM(B57,B58,B59)</f>
        <v>30510700</v>
      </c>
      <c r="C56" s="421">
        <f>SUM(C57,C58,C59)</f>
        <v>12000000</v>
      </c>
      <c r="D56" s="422">
        <f t="shared" si="6"/>
        <v>39.33046439445834</v>
      </c>
      <c r="E56" s="423">
        <f t="shared" si="7"/>
        <v>7.361314074025146</v>
      </c>
      <c r="F56" s="408"/>
    </row>
    <row r="57" spans="1:6" s="454" customFormat="1" ht="15" customHeight="1">
      <c r="A57" s="451" t="s">
        <v>622</v>
      </c>
      <c r="B57" s="452">
        <f>SUM(6DOCHODY!E702)</f>
        <v>30510700</v>
      </c>
      <c r="C57" s="452">
        <f>SUM(6DOCHODY!F702)</f>
        <v>12000000</v>
      </c>
      <c r="D57" s="427">
        <f t="shared" si="6"/>
        <v>39.33046439445834</v>
      </c>
      <c r="E57" s="428">
        <f t="shared" si="7"/>
        <v>7.361314074025146</v>
      </c>
      <c r="F57" s="453"/>
    </row>
    <row r="58" spans="1:6" s="454" customFormat="1" ht="15" customHeight="1" hidden="1">
      <c r="A58" s="451" t="s">
        <v>890</v>
      </c>
      <c r="B58" s="452">
        <f>SUM(6DOCHODY!E265)</f>
        <v>0</v>
      </c>
      <c r="C58" s="452">
        <f>SUM(6DOCHODY!F265)</f>
        <v>0</v>
      </c>
      <c r="D58" s="455" t="s">
        <v>799</v>
      </c>
      <c r="E58" s="428">
        <f t="shared" si="7"/>
        <v>0</v>
      </c>
      <c r="F58" s="453"/>
    </row>
    <row r="59" spans="1:6" s="454" customFormat="1" ht="15" customHeight="1" hidden="1">
      <c r="A59" s="451" t="s">
        <v>623</v>
      </c>
      <c r="B59" s="452">
        <f>SUM(6DOCHODY!E703)</f>
        <v>0</v>
      </c>
      <c r="C59" s="452">
        <f>SUM(6DOCHODY!F703)</f>
        <v>0</v>
      </c>
      <c r="D59" s="427" t="e">
        <f t="shared" si="6"/>
        <v>#DIV/0!</v>
      </c>
      <c r="E59" s="428">
        <f t="shared" si="7"/>
        <v>0</v>
      </c>
      <c r="F59" s="453"/>
    </row>
    <row r="60" spans="1:6" s="454" customFormat="1" ht="12.75">
      <c r="A60" s="456" t="s">
        <v>466</v>
      </c>
      <c r="B60" s="457">
        <f>SUM(6DOCHODY!E712)</f>
        <v>3815546</v>
      </c>
      <c r="C60" s="457">
        <f>SUM(6DOCHODY!F712)</f>
        <v>1907772</v>
      </c>
      <c r="D60" s="422">
        <f t="shared" si="6"/>
        <v>49.99997379143116</v>
      </c>
      <c r="E60" s="423">
        <f t="shared" si="7"/>
        <v>1.1703090728025916</v>
      </c>
      <c r="F60" s="408"/>
    </row>
    <row r="61" spans="1:6" s="454" customFormat="1" ht="12.75" customHeight="1">
      <c r="A61" s="456" t="s">
        <v>621</v>
      </c>
      <c r="B61" s="458">
        <f>6DOCHODY!E705</f>
        <v>0</v>
      </c>
      <c r="C61" s="458">
        <f>6DOCHODY!F705</f>
        <v>0</v>
      </c>
      <c r="D61" s="422" t="e">
        <f t="shared" si="6"/>
        <v>#DIV/0!</v>
      </c>
      <c r="E61" s="423">
        <f t="shared" si="7"/>
        <v>0</v>
      </c>
      <c r="F61" s="408"/>
    </row>
    <row r="62" spans="1:6" s="454" customFormat="1" ht="11.25" customHeight="1">
      <c r="A62" s="456"/>
      <c r="B62" s="457"/>
      <c r="C62" s="457"/>
      <c r="D62" s="422"/>
      <c r="E62" s="423"/>
      <c r="F62" s="453"/>
    </row>
    <row r="63" spans="1:6" s="454" customFormat="1" ht="12.75">
      <c r="A63" s="459" t="s">
        <v>36</v>
      </c>
      <c r="B63" s="460">
        <f>SUM(B64,B68,B72,B76,B80)</f>
        <v>48812863.74</v>
      </c>
      <c r="C63" s="460">
        <f>SUM(C64,C68,C72,C76,C80)</f>
        <v>19225604.790000003</v>
      </c>
      <c r="D63" s="418">
        <f>C63/B63*100</f>
        <v>39.386348837069896</v>
      </c>
      <c r="E63" s="419">
        <f>C63/$C$84*100</f>
        <v>11.79380959352269</v>
      </c>
      <c r="F63" s="453"/>
    </row>
    <row r="64" spans="1:6" s="395" customFormat="1" ht="25.5">
      <c r="A64" s="461" t="s">
        <v>372</v>
      </c>
      <c r="B64" s="421">
        <f>B66+B65</f>
        <v>9289372</v>
      </c>
      <c r="C64" s="421">
        <f>C66+C65</f>
        <v>2008492</v>
      </c>
      <c r="D64" s="422">
        <f>C64/B64*100</f>
        <v>21.621397011552556</v>
      </c>
      <c r="E64" s="423">
        <f>C64/$C$84*100</f>
        <v>1.2320950355972426</v>
      </c>
      <c r="F64" s="409"/>
    </row>
    <row r="65" spans="1:6" s="454" customFormat="1" ht="12.75">
      <c r="A65" s="451" t="s">
        <v>1053</v>
      </c>
      <c r="B65" s="452">
        <f>SUM(6DOCHODY!E53,6DOCHODY!E81,6DOCHODY!E275,6DOCHODY!E277,6DOCHODY!E287,6DOCHODY!E293,6DOCHODY!E309,6DOCHODY!E324,6DOCHODY!E301,6DOCHODY!E329,6DOCHODY!E375,6DOCHODY!E390,6DOCHODY!E397,6DOCHODY!E404,6DOCHODY!E411,6DOCHODY!E420,6DOCHODY!E428,6DOCHODY!E437,6DOCHODY!E457,6DOCHODY!E458,6DOCHODY!E483,6DOCHODY!E588)</f>
        <v>9264572</v>
      </c>
      <c r="C65" s="452">
        <f>SUM(6DOCHODY!F53,6DOCHODY!F81,6DOCHODY!F275,6DOCHODY!F277,6DOCHODY!F287,6DOCHODY!F293,6DOCHODY!F309,6DOCHODY!F324,6DOCHODY!F301,6DOCHODY!F329,6DOCHODY!F375,6DOCHODY!F390,6DOCHODY!F397,6DOCHODY!F404,6DOCHODY!F411,6DOCHODY!F420,6DOCHODY!F428,6DOCHODY!F437,6DOCHODY!F457,6DOCHODY!F458,6DOCHODY!F483,6DOCHODY!F588)</f>
        <v>1983692</v>
      </c>
      <c r="D65" s="427">
        <f>C65/B65*100</f>
        <v>21.411588144600742</v>
      </c>
      <c r="E65" s="428">
        <f>C65/$C$84*100</f>
        <v>1.2168816531775908</v>
      </c>
      <c r="F65" s="462" t="s">
        <v>1215</v>
      </c>
    </row>
    <row r="66" spans="1:6" ht="12.75">
      <c r="A66" s="463" t="s">
        <v>1052</v>
      </c>
      <c r="B66" s="426">
        <f>SUM(6DOCHODY!E632,6DOCHODY!E724,6DOCHODY!E735,6DOCHODY!E740,6DOCHODY!E741,6DOCHODY!E755,6DOCHODY!E772,6DOCHODY!E781,6DOCHODY!E784,6DOCHODY!E818,6DOCHODY!E820,6DOCHODY!E822,6DOCHODY!E829,6DOCHODY!E830)</f>
        <v>24800</v>
      </c>
      <c r="C66" s="426">
        <f>SUM(6DOCHODY!F632,6DOCHODY!F724,6DOCHODY!F735,6DOCHODY!F740,6DOCHODY!F741,6DOCHODY!F755,6DOCHODY!F772,6DOCHODY!F781,6DOCHODY!F784,6DOCHODY!F818,6DOCHODY!F820,6DOCHODY!F822,6DOCHODY!F829,6DOCHODY!F830)</f>
        <v>24800</v>
      </c>
      <c r="D66" s="427">
        <f>C66/B66*100</f>
        <v>100</v>
      </c>
      <c r="E66" s="428">
        <f>C66/$C$84*100</f>
        <v>0.01521338241965197</v>
      </c>
      <c r="F66" s="462">
        <v>213.643</v>
      </c>
    </row>
    <row r="67" spans="1:6" s="454" customFormat="1" ht="12.75">
      <c r="A67" s="456"/>
      <c r="B67" s="457"/>
      <c r="C67" s="457"/>
      <c r="D67" s="422"/>
      <c r="E67" s="423"/>
      <c r="F67" s="453"/>
    </row>
    <row r="68" spans="1:6" s="465" customFormat="1" ht="27" customHeight="1">
      <c r="A68" s="461" t="s">
        <v>373</v>
      </c>
      <c r="B68" s="457">
        <f>SUM(B70,B69)</f>
        <v>29127728.740000002</v>
      </c>
      <c r="C68" s="457">
        <f>SUM(C70,C69)</f>
        <v>16888385.6</v>
      </c>
      <c r="D68" s="422">
        <f>C68/B68*100</f>
        <v>57.98044107986979</v>
      </c>
      <c r="E68" s="423">
        <f>C68/$C$84*100</f>
        <v>10.360059217070301</v>
      </c>
      <c r="F68" s="464"/>
    </row>
    <row r="69" spans="1:7" ht="12.75">
      <c r="A69" s="451" t="s">
        <v>1056</v>
      </c>
      <c r="B69" s="426">
        <f>SUM(6DOCHODY!E14,6DOCHODY!E104,6DOCHODY!E125,6DOCHODY!E146,6DOCHODY!E171,6DOCHODY!E173,6DOCHODY!E175,6DOCHODY!E177,6DOCHODY!E179,6DOCHODY!E198,6DOCHODY!E286,6DOCHODY!E308,6DOCHODY!E317,6DOCHODY!E322,6DOCHODY!E349,6DOCHODY!E366,6DOCHODY!E378,6DOCHODY!E384,6DOCHODY!E389,6DOCHODY!E396,6DOCHODY!E401,6DOCHODY!E410,6DOCHODY!E417,6DOCHODY!E423,6DOCHODY!E427,6DOCHODY!E466,6DOCHODY!E472,6DOCHODY!E476)</f>
        <v>21262118.740000002</v>
      </c>
      <c r="C69" s="426">
        <f>SUM(6DOCHODY!F14,6DOCHODY!F104,6DOCHODY!F125,6DOCHODY!F146,6DOCHODY!F171,6DOCHODY!F173,6DOCHODY!F175,6DOCHODY!F177,6DOCHODY!F179,6DOCHODY!F198,6DOCHODY!F286,6DOCHODY!F308,6DOCHODY!F317,6DOCHODY!F322,6DOCHODY!F349,6DOCHODY!F366,6DOCHODY!F378,6DOCHODY!F384,6DOCHODY!F389,6DOCHODY!F396,6DOCHODY!F401,6DOCHODY!F410,6DOCHODY!F417,6DOCHODY!F423,6DOCHODY!F427,6DOCHODY!F466,6DOCHODY!F472,6DOCHODY!F476)</f>
        <v>12275508</v>
      </c>
      <c r="D69" s="427">
        <f>C69/B69*100</f>
        <v>57.734171039626126</v>
      </c>
      <c r="E69" s="428">
        <f>C69/$C$84*100</f>
        <v>7.530322483850689</v>
      </c>
      <c r="F69" s="462">
        <v>201.206</v>
      </c>
      <c r="G69" s="424">
        <f>SUM(B64+B68+B72)</f>
        <v>38485500.74</v>
      </c>
    </row>
    <row r="70" spans="1:9" ht="12.75">
      <c r="A70" s="463" t="s">
        <v>1055</v>
      </c>
      <c r="B70" s="426">
        <f>SUM(6DOCHODY!E605,6DOCHODY!E607,6DOCHODY!E635,6DOCHODY!E637,6DOCHODY!E641,6DOCHODY!E643,6DOCHODY!E649,6DOCHODY!E656,6DOCHODY!E657,6DOCHODY!E659,6DOCHODY!E662,6DOCHODY!E670,6DOCHODY!E675,6DOCHODY!E677,6DOCHODY!E679,6DOCHODY!E685,6DOCHODY!E716,6DOCHODY!E720,6DOCHODY!E751,6DOCHODY!E765,6DOCHODY!E773,6DOCHODY!E778,6DOCHODY!E789,6DOCHODY!E796)+6DOCHODY!E808+6DOCHODY!E837+6DOCHODY!E854</f>
        <v>7865610</v>
      </c>
      <c r="C70" s="426">
        <f>SUM(6DOCHODY!F605,6DOCHODY!F607,6DOCHODY!F635,6DOCHODY!F637,6DOCHODY!F641,6DOCHODY!F643,6DOCHODY!F649,6DOCHODY!F656,6DOCHODY!F657,6DOCHODY!F659,6DOCHODY!F662,6DOCHODY!F670,6DOCHODY!F675,6DOCHODY!F677,6DOCHODY!F679,6DOCHODY!F685,6DOCHODY!F716,6DOCHODY!F720,6DOCHODY!F751,6DOCHODY!F765,6DOCHODY!F773,6DOCHODY!F778,6DOCHODY!F789,6DOCHODY!F796)+6DOCHODY!F808+6DOCHODY!F837+6DOCHODY!F854</f>
        <v>4612877.6</v>
      </c>
      <c r="D70" s="427">
        <f>C70/B70*100</f>
        <v>58.6461520466944</v>
      </c>
      <c r="E70" s="428">
        <f>C70/$C$84*100</f>
        <v>2.8297367332196113</v>
      </c>
      <c r="F70" s="462" t="s">
        <v>1449</v>
      </c>
      <c r="G70" s="424">
        <f>6683387.57+23078+3141600+91504+6441267+40349+22331.99+1600+129025+63850+3471000</f>
        <v>20108992.560000002</v>
      </c>
      <c r="I70" s="394" t="s">
        <v>136</v>
      </c>
    </row>
    <row r="71" spans="1:6" ht="12.75">
      <c r="A71" s="450"/>
      <c r="B71" s="421"/>
      <c r="C71" s="421"/>
      <c r="D71" s="422"/>
      <c r="E71" s="423"/>
      <c r="F71" s="408"/>
    </row>
    <row r="72" spans="1:6" s="395" customFormat="1" ht="27.75" customHeight="1">
      <c r="A72" s="461" t="s">
        <v>374</v>
      </c>
      <c r="B72" s="421">
        <f>B74+B73</f>
        <v>68400</v>
      </c>
      <c r="C72" s="421">
        <f>C74+C73</f>
        <v>2163.85</v>
      </c>
      <c r="D72" s="422">
        <f>C72/B72*100</f>
        <v>3.1635233918128653</v>
      </c>
      <c r="E72" s="423">
        <f>C72/$C$84*100</f>
        <v>0.0013273982882566092</v>
      </c>
      <c r="F72" s="409"/>
    </row>
    <row r="73" spans="1:6" ht="12.75">
      <c r="A73" s="451" t="s">
        <v>1056</v>
      </c>
      <c r="B73" s="426">
        <f>SUM(6DOCHODY!E105,6DOCHODY!E109,6DOCHODY!E323,6DOCHODY!E350,6DOCHODY!E426,6DOCHODY!E456)</f>
        <v>65400</v>
      </c>
      <c r="C73" s="426">
        <f>SUM(6DOCHODY!F105,6DOCHODY!F109,6DOCHODY!F323,6DOCHODY!F350,6DOCHODY!F426,6DOCHODY!F456)</f>
        <v>0</v>
      </c>
      <c r="D73" s="427">
        <f>C73/B73*100</f>
        <v>0</v>
      </c>
      <c r="E73" s="428">
        <f>C73/$C$84*100</f>
        <v>0</v>
      </c>
      <c r="F73" s="462">
        <v>202</v>
      </c>
    </row>
    <row r="74" spans="1:6" ht="12.75">
      <c r="A74" s="463" t="s">
        <v>1055</v>
      </c>
      <c r="B74" s="426">
        <f>SUM(6DOCHODY!E630,6DOCHODY!E671,6DOCHODY!E771,6DOCHODY!E786)</f>
        <v>3000</v>
      </c>
      <c r="C74" s="426">
        <f>SUM(6DOCHODY!F630,6DOCHODY!F671,6DOCHODY!F771,6DOCHODY!F786)</f>
        <v>2163.85</v>
      </c>
      <c r="D74" s="427">
        <f>C74/B74*100</f>
        <v>72.12833333333333</v>
      </c>
      <c r="E74" s="428">
        <f>C74/$C$84*100</f>
        <v>0.0013273982882566092</v>
      </c>
      <c r="F74" s="462">
        <v>212</v>
      </c>
    </row>
    <row r="75" spans="1:6" ht="12.75">
      <c r="A75" s="451"/>
      <c r="B75" s="426"/>
      <c r="C75" s="426"/>
      <c r="D75" s="427"/>
      <c r="E75" s="428"/>
      <c r="F75" s="408"/>
    </row>
    <row r="76" spans="1:6" s="395" customFormat="1" ht="38.25">
      <c r="A76" s="461" t="s">
        <v>1072</v>
      </c>
      <c r="B76" s="421">
        <f>SUM(B78,B77)</f>
        <v>120061</v>
      </c>
      <c r="C76" s="421">
        <f>SUM(C78,C77)</f>
        <v>120000</v>
      </c>
      <c r="D76" s="422">
        <f>C76/B76*100</f>
        <v>99.94919249381564</v>
      </c>
      <c r="E76" s="423">
        <f>C76/$C$84*100</f>
        <v>0.07361314074025146</v>
      </c>
      <c r="F76" s="409"/>
    </row>
    <row r="77" spans="1:6" ht="12.75">
      <c r="A77" s="463" t="s">
        <v>1056</v>
      </c>
      <c r="B77" s="426">
        <f>6DOCHODY!E36+6DOCHODY!E189</f>
        <v>120061</v>
      </c>
      <c r="C77" s="426">
        <f>6DOCHODY!F36+6DOCHODY!F189</f>
        <v>120000</v>
      </c>
      <c r="D77" s="427">
        <f>C77/B77*100</f>
        <v>99.94919249381564</v>
      </c>
      <c r="E77" s="428">
        <f>C77/$C$84*100</f>
        <v>0.07361314074025146</v>
      </c>
      <c r="F77" s="466" t="s">
        <v>1450</v>
      </c>
    </row>
    <row r="78" spans="1:6" ht="12.75">
      <c r="A78" s="463" t="s">
        <v>1055</v>
      </c>
      <c r="B78" s="426">
        <f>SUM(6DOCHODY!E774,6DOCHODY!E775,6DOCHODY!E823,6DOCHODY!E825)</f>
        <v>0</v>
      </c>
      <c r="C78" s="426">
        <f>SUM(6DOCHODY!F774,6DOCHODY!F775,6DOCHODY!F823,6DOCHODY!F825)</f>
        <v>0</v>
      </c>
      <c r="D78" s="427" t="e">
        <f>C78/B78*100</f>
        <v>#DIV/0!</v>
      </c>
      <c r="E78" s="428">
        <f>C78/$C$84*100</f>
        <v>0</v>
      </c>
      <c r="F78" s="462"/>
    </row>
    <row r="79" spans="1:6" ht="12.75">
      <c r="A79" s="463"/>
      <c r="B79" s="426"/>
      <c r="C79" s="426"/>
      <c r="D79" s="455"/>
      <c r="E79" s="428"/>
      <c r="F79" s="408"/>
    </row>
    <row r="80" spans="1:6" s="395" customFormat="1" ht="25.5">
      <c r="A80" s="461" t="s">
        <v>1073</v>
      </c>
      <c r="B80" s="421">
        <f>SUM(B82,B81)</f>
        <v>10207302</v>
      </c>
      <c r="C80" s="421">
        <f>SUM(C82,C81)</f>
        <v>206563.34000000003</v>
      </c>
      <c r="D80" s="422">
        <f>C80/B80*100</f>
        <v>2.023682066034688</v>
      </c>
      <c r="E80" s="423">
        <f>C80/$C$84*100</f>
        <v>0.1267148018266368</v>
      </c>
      <c r="F80" s="409"/>
    </row>
    <row r="81" spans="1:7" ht="12.75">
      <c r="A81" s="463" t="s">
        <v>1056</v>
      </c>
      <c r="B81" s="426">
        <f>SUM(6DOCHODY!E34,6DOCHODY!E48,6DOCHODY!E75,6DOCHODY!E77,6DOCHODY!E86,6DOCHODY!E88,6DOCHODY!E141,6DOCHODY!E157,6DOCHODY!E159,6DOCHODY!E161,6DOCHODY!E166,6DOCHODY!E187,6DOCHODY!E190,6DOCHODY!E288,6DOCHODY!E444,6DOCHODY!E446,6DOCHODY!E448,6DOCHODY!E502,6DOCHODY!E504,6DOCHODY!E511,6DOCHODY!E513,6DOCHODY!E564,6DOCHODY!E566,6DOCHODY!E576,6DOCHODY!E582,6DOCHODY!E584,6DOCHODY!E595)+6DOCHODY!E601</f>
        <v>7666905</v>
      </c>
      <c r="C81" s="426">
        <f>SUM(6DOCHODY!F34,6DOCHODY!F48,6DOCHODY!F75,6DOCHODY!F77,6DOCHODY!F86,6DOCHODY!F88,6DOCHODY!F141,6DOCHODY!F157,6DOCHODY!F159,6DOCHODY!F161,6DOCHODY!F166,6DOCHODY!F187,6DOCHODY!F190,6DOCHODY!F288,6DOCHODY!F444,6DOCHODY!F446,6DOCHODY!F448,6DOCHODY!F502,6DOCHODY!F504,6DOCHODY!F511,6DOCHODY!F513,6DOCHODY!F564,6DOCHODY!F566,6DOCHODY!F576,6DOCHODY!F582,6DOCHODY!F584,6DOCHODY!F595)+6DOCHODY!F601</f>
        <v>0</v>
      </c>
      <c r="D81" s="427">
        <f>C81/B81*100</f>
        <v>0</v>
      </c>
      <c r="E81" s="428">
        <f>C81/$C$84*100</f>
        <v>0</v>
      </c>
      <c r="F81" s="466" t="s">
        <v>1281</v>
      </c>
      <c r="G81" s="424">
        <f>SUM(389027+23066+20000+2292980+1009290+129829)</f>
        <v>3864192</v>
      </c>
    </row>
    <row r="82" spans="1:7" ht="12.75">
      <c r="A82" s="463" t="s">
        <v>1055</v>
      </c>
      <c r="B82" s="426">
        <f>SUM(6DOCHODY!E625,6DOCHODY!E650,6DOCHODY!E652,6DOCHODY!E681,6DOCHODY!E732,6DOCHODY!E734,6DOCHODY!E798,6DOCHODY!E800,6DOCHODY!E802,6DOCHODY!E804,6DOCHODY!E806,6DOCHODY!E809,6DOCHODY!E830)+6DOCHODY!E682</f>
        <v>2540397</v>
      </c>
      <c r="C82" s="426">
        <f>SUM(6DOCHODY!F625,6DOCHODY!F650,6DOCHODY!F652,6DOCHODY!F681,6DOCHODY!F732,6DOCHODY!F734,6DOCHODY!F798,6DOCHODY!F800,6DOCHODY!F802,6DOCHODY!F804,6DOCHODY!F806,6DOCHODY!F809,6DOCHODY!F830)+6DOCHODY!F682</f>
        <v>206563.34000000003</v>
      </c>
      <c r="D82" s="467">
        <f>C82/B82*100</f>
        <v>8.131144069214379</v>
      </c>
      <c r="E82" s="428">
        <f>C82/$C$84*100</f>
        <v>0.1267148018266368</v>
      </c>
      <c r="F82" s="408"/>
      <c r="G82" s="424">
        <f>SUM(B80)</f>
        <v>10207302</v>
      </c>
    </row>
    <row r="83" spans="1:7" ht="13.5" thickBot="1">
      <c r="A83" s="420"/>
      <c r="B83" s="421"/>
      <c r="C83" s="421"/>
      <c r="D83" s="468"/>
      <c r="E83" s="423"/>
      <c r="F83" s="408"/>
      <c r="G83" s="424">
        <f>SUM(G81-G82)</f>
        <v>-6343110</v>
      </c>
    </row>
    <row r="84" spans="1:6" s="474" customFormat="1" ht="23.25" customHeight="1" thickBot="1">
      <c r="A84" s="469" t="s">
        <v>1048</v>
      </c>
      <c r="B84" s="470">
        <f>SUM(B8,B54,B63)</f>
        <v>317783602.74</v>
      </c>
      <c r="C84" s="470">
        <f>SUM(C8,C54,C63)</f>
        <v>163014373.23999998</v>
      </c>
      <c r="D84" s="471">
        <f>C84/B84*100</f>
        <v>51.29728904652545</v>
      </c>
      <c r="E84" s="472">
        <f>C84/$C$84*100</f>
        <v>100</v>
      </c>
      <c r="F84" s="473"/>
    </row>
    <row r="85" spans="1:6" ht="12.75" hidden="1">
      <c r="A85" s="393" t="s">
        <v>81</v>
      </c>
      <c r="B85" s="263">
        <v>317783602.74</v>
      </c>
      <c r="C85" s="263">
        <v>163014373.24</v>
      </c>
      <c r="F85" s="408"/>
    </row>
    <row r="86" spans="1:6" s="395" customFormat="1" ht="12.75" hidden="1">
      <c r="A86" s="475" t="s">
        <v>1046</v>
      </c>
      <c r="B86" s="476">
        <f>B85-B84</f>
        <v>0</v>
      </c>
      <c r="C86" s="476">
        <f>C85-C84</f>
        <v>0</v>
      </c>
      <c r="F86" s="409"/>
    </row>
    <row r="87" spans="1:3" ht="12.75">
      <c r="A87" s="477"/>
      <c r="B87" s="477"/>
      <c r="C87" s="478"/>
    </row>
    <row r="88" spans="2:3" ht="12.75">
      <c r="B88" s="288"/>
      <c r="C88" s="288"/>
    </row>
    <row r="90" spans="1:3" ht="12.75">
      <c r="A90" s="393"/>
      <c r="B90" s="424"/>
      <c r="C90" s="424"/>
    </row>
    <row r="129" s="407" customFormat="1" ht="12.75">
      <c r="F129" s="410"/>
    </row>
    <row r="130" s="407" customFormat="1" ht="12.75" customHeight="1">
      <c r="F130" s="410"/>
    </row>
    <row r="185" s="407" customFormat="1" ht="12.75">
      <c r="F185" s="410"/>
    </row>
    <row r="186" s="407" customFormat="1" ht="12.75" customHeight="1">
      <c r="F186" s="410"/>
    </row>
  </sheetData>
  <sheetProtection password="CF53" sheet="1" formatCells="0" formatColumns="0" formatRows="0" insertColumns="0" insertRows="0" insertHyperlinks="0" deleteColumns="0" deleteRows="0" sort="0" autoFilter="0" pivotTables="0"/>
  <mergeCells count="2">
    <mergeCell ref="D1:E1"/>
    <mergeCell ref="A3:E3"/>
  </mergeCells>
  <printOptions/>
  <pageMargins left="0.7480314960629921" right="0.7480314960629921" top="0.984251968503937" bottom="0.984251968503937" header="0.5118110236220472" footer="0.5118110236220472"/>
  <pageSetup errors="blank" firstPageNumber="37" useFirstPageNumber="1" horizontalDpi="600" verticalDpi="600" orientation="portrait" paperSize="9" scale="93" r:id="rId1"/>
  <headerFooter alignWithMargins="0">
    <oddFooter>&amp;C&amp;P</oddFooter>
  </headerFooter>
  <rowBreaks count="1" manualBreakCount="1">
    <brk id="53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118"/>
  <sheetViews>
    <sheetView view="pageBreakPreview" zoomScale="148" zoomScaleSheetLayoutView="148" zoomScalePageLayoutView="0" workbookViewId="0" topLeftCell="A1">
      <pane ySplit="6" topLeftCell="A1106" activePane="bottomLeft" state="frozen"/>
      <selection pane="topLeft" activeCell="I244" sqref="I244"/>
      <selection pane="bottomLeft" activeCell="J1111" sqref="J1111"/>
    </sheetView>
  </sheetViews>
  <sheetFormatPr defaultColWidth="9.00390625" defaultRowHeight="18.75" customHeight="1"/>
  <cols>
    <col min="1" max="1" width="5.25390625" style="513" customWidth="1"/>
    <col min="2" max="2" width="8.00390625" style="513" customWidth="1"/>
    <col min="3" max="3" width="39.25390625" style="514" customWidth="1"/>
    <col min="4" max="4" width="14.75390625" style="515" customWidth="1"/>
    <col min="5" max="5" width="13.875" style="515" customWidth="1"/>
    <col min="6" max="6" width="5.75390625" style="515" customWidth="1"/>
    <col min="7" max="7" width="13.00390625" style="1" hidden="1" customWidth="1"/>
    <col min="8" max="8" width="13.625" style="2" hidden="1" customWidth="1"/>
    <col min="9" max="12" width="9.125" style="515" customWidth="1"/>
    <col min="13" max="13" width="8.625" style="515" customWidth="1"/>
    <col min="14" max="16384" width="9.125" style="515" customWidth="1"/>
  </cols>
  <sheetData>
    <row r="1" spans="5:6" ht="18.75" customHeight="1">
      <c r="E1" s="1484" t="s">
        <v>918</v>
      </c>
      <c r="F1" s="1484"/>
    </row>
    <row r="2" ht="21.75" customHeight="1"/>
    <row r="3" spans="1:8" s="516" customFormat="1" ht="18.75" customHeight="1">
      <c r="A3" s="1443" t="s">
        <v>787</v>
      </c>
      <c r="B3" s="1443"/>
      <c r="C3" s="1443"/>
      <c r="D3" s="1443"/>
      <c r="E3" s="1443"/>
      <c r="G3" s="1"/>
      <c r="H3" s="3"/>
    </row>
    <row r="4" spans="1:8" s="516" customFormat="1" ht="13.5" customHeight="1" thickBot="1">
      <c r="A4" s="517"/>
      <c r="B4" s="517"/>
      <c r="C4" s="518"/>
      <c r="D4" s="517"/>
      <c r="E4" s="517"/>
      <c r="F4" s="248" t="s">
        <v>169</v>
      </c>
      <c r="G4" s="1"/>
      <c r="H4" s="3"/>
    </row>
    <row r="5" spans="1:8" s="516" customFormat="1" ht="18.75" customHeight="1">
      <c r="A5" s="519" t="s">
        <v>1077</v>
      </c>
      <c r="B5" s="520" t="s">
        <v>170</v>
      </c>
      <c r="C5" s="520" t="s">
        <v>171</v>
      </c>
      <c r="D5" s="521" t="s">
        <v>172</v>
      </c>
      <c r="E5" s="521" t="s">
        <v>173</v>
      </c>
      <c r="F5" s="522" t="s">
        <v>174</v>
      </c>
      <c r="G5" s="1"/>
      <c r="H5" s="3"/>
    </row>
    <row r="6" spans="1:8" s="17" customFormat="1" ht="11.25" customHeight="1" thickBot="1">
      <c r="A6" s="14">
        <v>1</v>
      </c>
      <c r="B6" s="15">
        <v>2</v>
      </c>
      <c r="C6" s="15">
        <v>3</v>
      </c>
      <c r="D6" s="4">
        <v>4</v>
      </c>
      <c r="E6" s="4">
        <v>5</v>
      </c>
      <c r="F6" s="254">
        <v>6</v>
      </c>
      <c r="G6" s="1"/>
      <c r="H6" s="1"/>
    </row>
    <row r="7" spans="1:6" s="1" customFormat="1" ht="19.5" customHeight="1">
      <c r="A7" s="1485" t="s">
        <v>647</v>
      </c>
      <c r="B7" s="1486"/>
      <c r="C7" s="1486"/>
      <c r="D7" s="523">
        <f>SUM(D8,D21,D26,D31,D39,D61,D72,D93,D120,D170,D200,D207,D248,D254,D263,D275,D355,D396,D491,D513,D546,D578,D634,D669)</f>
        <v>238400701.73999998</v>
      </c>
      <c r="E7" s="523">
        <f>SUM(E8,E21,E26,E31,E39,E61,E72,E93,E120,E170,E200,E207,E248,E254,E263,E275,E355,E396,E491,E513,E546,E578,E634,E669)</f>
        <v>72859234.96</v>
      </c>
      <c r="F7" s="524">
        <f>E7/D7*100</f>
        <v>30.561669671367138</v>
      </c>
    </row>
    <row r="8" spans="1:7" s="486" customFormat="1" ht="18.75" customHeight="1">
      <c r="A8" s="480" t="s">
        <v>175</v>
      </c>
      <c r="B8" s="481"/>
      <c r="C8" s="482" t="s">
        <v>1078</v>
      </c>
      <c r="D8" s="483">
        <f>SUM(D9,D14,D17)</f>
        <v>507438.33</v>
      </c>
      <c r="E8" s="483">
        <f>SUM(E9,E14,E17)</f>
        <v>93508.99</v>
      </c>
      <c r="F8" s="484">
        <f>E8/D8*100</f>
        <v>18.427656026693924</v>
      </c>
      <c r="G8" s="485"/>
    </row>
    <row r="9" spans="1:7" s="493" customFormat="1" ht="18.75" customHeight="1">
      <c r="A9" s="487"/>
      <c r="B9" s="488" t="s">
        <v>1079</v>
      </c>
      <c r="C9" s="489" t="s">
        <v>1080</v>
      </c>
      <c r="D9" s="490">
        <f>D10</f>
        <v>482000</v>
      </c>
      <c r="E9" s="490">
        <f>E10</f>
        <v>73097.2</v>
      </c>
      <c r="F9" s="491">
        <f aca="true" t="shared" si="0" ref="F9:F27">E9/D9*100</f>
        <v>15.165394190871368</v>
      </c>
      <c r="G9" s="492"/>
    </row>
    <row r="10" spans="1:7" s="499" customFormat="1" ht="18.75" customHeight="1">
      <c r="A10" s="494"/>
      <c r="B10" s="495"/>
      <c r="C10" s="496" t="s">
        <v>838</v>
      </c>
      <c r="D10" s="360">
        <f>SUM(D11)</f>
        <v>482000</v>
      </c>
      <c r="E10" s="360">
        <f>SUM(E11)</f>
        <v>73097.2</v>
      </c>
      <c r="F10" s="497">
        <f t="shared" si="0"/>
        <v>15.165394190871368</v>
      </c>
      <c r="G10" s="498"/>
    </row>
    <row r="11" spans="1:7" s="506" customFormat="1" ht="18" customHeight="1">
      <c r="A11" s="500"/>
      <c r="B11" s="501"/>
      <c r="C11" s="502" t="s">
        <v>976</v>
      </c>
      <c r="D11" s="503">
        <f>SUM(D12,D13)</f>
        <v>482000</v>
      </c>
      <c r="E11" s="503">
        <f>SUM(E12,E13)</f>
        <v>73097.2</v>
      </c>
      <c r="F11" s="504">
        <f>E11/D11*100</f>
        <v>15.165394190871368</v>
      </c>
      <c r="G11" s="505"/>
    </row>
    <row r="12" spans="1:7" s="512" customFormat="1" ht="18.75" customHeight="1">
      <c r="A12" s="507"/>
      <c r="B12" s="508"/>
      <c r="C12" s="509" t="s">
        <v>1096</v>
      </c>
      <c r="D12" s="510">
        <v>2000</v>
      </c>
      <c r="E12" s="510">
        <v>0</v>
      </c>
      <c r="F12" s="511">
        <f>E12/D12*100</f>
        <v>0</v>
      </c>
      <c r="G12" s="505"/>
    </row>
    <row r="13" spans="1:7" s="512" customFormat="1" ht="18.75" customHeight="1">
      <c r="A13" s="507"/>
      <c r="B13" s="508"/>
      <c r="C13" s="509" t="s">
        <v>977</v>
      </c>
      <c r="D13" s="510">
        <v>480000</v>
      </c>
      <c r="E13" s="510">
        <v>73097.2</v>
      </c>
      <c r="F13" s="511">
        <f>E13/D13*100</f>
        <v>15.228583333333331</v>
      </c>
      <c r="G13" s="505"/>
    </row>
    <row r="14" spans="1:7" s="493" customFormat="1" ht="18.75" customHeight="1">
      <c r="A14" s="487"/>
      <c r="B14" s="488" t="s">
        <v>1081</v>
      </c>
      <c r="C14" s="525" t="s">
        <v>1082</v>
      </c>
      <c r="D14" s="490">
        <f>D15</f>
        <v>1300</v>
      </c>
      <c r="E14" s="490">
        <f>E15</f>
        <v>573.46</v>
      </c>
      <c r="F14" s="491">
        <f t="shared" si="0"/>
        <v>44.112307692307695</v>
      </c>
      <c r="G14" s="485"/>
    </row>
    <row r="15" spans="1:7" s="529" customFormat="1" ht="18.75" customHeight="1">
      <c r="A15" s="526"/>
      <c r="B15" s="527"/>
      <c r="C15" s="496" t="s">
        <v>838</v>
      </c>
      <c r="D15" s="360">
        <f>SUM(D16)</f>
        <v>1300</v>
      </c>
      <c r="E15" s="360">
        <f>SUM(E16)</f>
        <v>573.46</v>
      </c>
      <c r="F15" s="497">
        <f t="shared" si="0"/>
        <v>44.112307692307695</v>
      </c>
      <c r="G15" s="528"/>
    </row>
    <row r="16" spans="1:7" s="506" customFormat="1" ht="26.25" customHeight="1">
      <c r="A16" s="500"/>
      <c r="B16" s="501"/>
      <c r="C16" s="502" t="s">
        <v>1162</v>
      </c>
      <c r="D16" s="503">
        <v>1300</v>
      </c>
      <c r="E16" s="503">
        <v>573.46</v>
      </c>
      <c r="F16" s="504">
        <f t="shared" si="0"/>
        <v>44.112307692307695</v>
      </c>
      <c r="G16" s="530"/>
    </row>
    <row r="17" spans="1:8" s="532" customFormat="1" ht="18.75" customHeight="1">
      <c r="A17" s="487"/>
      <c r="B17" s="488" t="s">
        <v>1083</v>
      </c>
      <c r="C17" s="531" t="s">
        <v>176</v>
      </c>
      <c r="D17" s="490">
        <f>D18</f>
        <v>24138.33</v>
      </c>
      <c r="E17" s="490">
        <f>E18</f>
        <v>19838.33</v>
      </c>
      <c r="F17" s="491">
        <f t="shared" si="0"/>
        <v>82.1860087255415</v>
      </c>
      <c r="G17" s="485"/>
      <c r="H17" s="493"/>
    </row>
    <row r="18" spans="1:7" s="499" customFormat="1" ht="18.75" customHeight="1">
      <c r="A18" s="494"/>
      <c r="B18" s="495"/>
      <c r="C18" s="496" t="s">
        <v>838</v>
      </c>
      <c r="D18" s="360">
        <f>SUM(D19)</f>
        <v>24138.33</v>
      </c>
      <c r="E18" s="360">
        <f>SUM(E19)</f>
        <v>19838.33</v>
      </c>
      <c r="F18" s="497">
        <f>E18/D18*100</f>
        <v>82.1860087255415</v>
      </c>
      <c r="G18" s="498"/>
    </row>
    <row r="19" spans="1:7" s="506" customFormat="1" ht="18" customHeight="1">
      <c r="A19" s="500"/>
      <c r="B19" s="501"/>
      <c r="C19" s="502" t="s">
        <v>976</v>
      </c>
      <c r="D19" s="503">
        <f>SUM(D20)</f>
        <v>24138.33</v>
      </c>
      <c r="E19" s="503">
        <f>SUM(E20)</f>
        <v>19838.33</v>
      </c>
      <c r="F19" s="504">
        <f>E19/D19*100</f>
        <v>82.1860087255415</v>
      </c>
      <c r="G19" s="505"/>
    </row>
    <row r="20" spans="1:7" s="512" customFormat="1" ht="18.75" customHeight="1">
      <c r="A20" s="507"/>
      <c r="B20" s="508"/>
      <c r="C20" s="509" t="s">
        <v>977</v>
      </c>
      <c r="D20" s="510">
        <v>24138.33</v>
      </c>
      <c r="E20" s="510">
        <v>19838.33</v>
      </c>
      <c r="F20" s="511">
        <f>E20/D20*100</f>
        <v>82.1860087255415</v>
      </c>
      <c r="G20" s="505"/>
    </row>
    <row r="21" spans="1:7" s="486" customFormat="1" ht="18.75" customHeight="1">
      <c r="A21" s="480" t="s">
        <v>177</v>
      </c>
      <c r="B21" s="481"/>
      <c r="C21" s="533" t="s">
        <v>1084</v>
      </c>
      <c r="D21" s="483">
        <f>SUM(D22)</f>
        <v>52000</v>
      </c>
      <c r="E21" s="483">
        <f>SUM(E22)</f>
        <v>324</v>
      </c>
      <c r="F21" s="484">
        <f t="shared" si="0"/>
        <v>0.6230769230769231</v>
      </c>
      <c r="G21" s="485"/>
    </row>
    <row r="22" spans="1:8" s="532" customFormat="1" ht="18.75" customHeight="1">
      <c r="A22" s="487"/>
      <c r="B22" s="488" t="s">
        <v>178</v>
      </c>
      <c r="C22" s="531" t="s">
        <v>176</v>
      </c>
      <c r="D22" s="490">
        <f>D25</f>
        <v>52000</v>
      </c>
      <c r="E22" s="490">
        <f>E25</f>
        <v>324</v>
      </c>
      <c r="F22" s="491">
        <f t="shared" si="0"/>
        <v>0.6230769230769231</v>
      </c>
      <c r="G22" s="485"/>
      <c r="H22" s="493"/>
    </row>
    <row r="23" spans="1:7" s="499" customFormat="1" ht="18.75" customHeight="1">
      <c r="A23" s="494"/>
      <c r="B23" s="495"/>
      <c r="C23" s="496" t="s">
        <v>838</v>
      </c>
      <c r="D23" s="360">
        <f>SUM(D24)</f>
        <v>52000</v>
      </c>
      <c r="E23" s="360">
        <f>SUM(E24)</f>
        <v>324</v>
      </c>
      <c r="F23" s="497">
        <f t="shared" si="0"/>
        <v>0.6230769230769231</v>
      </c>
      <c r="G23" s="498"/>
    </row>
    <row r="24" spans="1:7" s="506" customFormat="1" ht="18" customHeight="1">
      <c r="A24" s="500"/>
      <c r="B24" s="501"/>
      <c r="C24" s="502" t="s">
        <v>976</v>
      </c>
      <c r="D24" s="503">
        <f>SUM(D25)</f>
        <v>52000</v>
      </c>
      <c r="E24" s="503">
        <f>SUM(E25)</f>
        <v>324</v>
      </c>
      <c r="F24" s="504">
        <f>E24/D24*100</f>
        <v>0.6230769230769231</v>
      </c>
      <c r="G24" s="505"/>
    </row>
    <row r="25" spans="1:7" s="512" customFormat="1" ht="18.75" customHeight="1">
      <c r="A25" s="507"/>
      <c r="B25" s="508"/>
      <c r="C25" s="509" t="s">
        <v>977</v>
      </c>
      <c r="D25" s="510">
        <v>52000</v>
      </c>
      <c r="E25" s="510">
        <v>324</v>
      </c>
      <c r="F25" s="511">
        <f>E25/D25*100</f>
        <v>0.6230769230769231</v>
      </c>
      <c r="G25" s="505"/>
    </row>
    <row r="26" spans="1:7" s="486" customFormat="1" ht="38.25" customHeight="1" hidden="1">
      <c r="A26" s="1387" t="s">
        <v>331</v>
      </c>
      <c r="B26" s="481"/>
      <c r="C26" s="482" t="s">
        <v>1085</v>
      </c>
      <c r="D26" s="483">
        <f>D27</f>
        <v>0</v>
      </c>
      <c r="E26" s="483">
        <f>E27</f>
        <v>0</v>
      </c>
      <c r="F26" s="484" t="e">
        <f t="shared" si="0"/>
        <v>#DIV/0!</v>
      </c>
      <c r="G26" s="485"/>
    </row>
    <row r="27" spans="1:8" s="532" customFormat="1" ht="18.75" customHeight="1" hidden="1">
      <c r="A27" s="487"/>
      <c r="B27" s="488" t="s">
        <v>1086</v>
      </c>
      <c r="C27" s="531" t="s">
        <v>1087</v>
      </c>
      <c r="D27" s="490">
        <f>D30</f>
        <v>0</v>
      </c>
      <c r="E27" s="490">
        <f>E30</f>
        <v>0</v>
      </c>
      <c r="F27" s="491" t="e">
        <f t="shared" si="0"/>
        <v>#DIV/0!</v>
      </c>
      <c r="G27" s="485"/>
      <c r="H27" s="493"/>
    </row>
    <row r="28" spans="1:7" s="499" customFormat="1" ht="18.75" customHeight="1" hidden="1">
      <c r="A28" s="494"/>
      <c r="B28" s="495"/>
      <c r="C28" s="496" t="s">
        <v>838</v>
      </c>
      <c r="D28" s="360">
        <f>SUM(D29)</f>
        <v>0</v>
      </c>
      <c r="E28" s="360">
        <f>SUM(E29)</f>
        <v>0</v>
      </c>
      <c r="F28" s="497" t="e">
        <f aca="true" t="shared" si="1" ref="F28:F38">E28/D28*100</f>
        <v>#DIV/0!</v>
      </c>
      <c r="G28" s="498"/>
    </row>
    <row r="29" spans="1:7" s="506" customFormat="1" ht="18" customHeight="1" hidden="1">
      <c r="A29" s="500"/>
      <c r="B29" s="501"/>
      <c r="C29" s="502" t="s">
        <v>976</v>
      </c>
      <c r="D29" s="503">
        <f>SUM(D30)</f>
        <v>0</v>
      </c>
      <c r="E29" s="503">
        <f>SUM(E30)</f>
        <v>0</v>
      </c>
      <c r="F29" s="504" t="e">
        <f t="shared" si="1"/>
        <v>#DIV/0!</v>
      </c>
      <c r="G29" s="505"/>
    </row>
    <row r="30" spans="1:7" s="512" customFormat="1" ht="18.75" customHeight="1" hidden="1">
      <c r="A30" s="507"/>
      <c r="B30" s="508"/>
      <c r="C30" s="509" t="s">
        <v>977</v>
      </c>
      <c r="D30" s="510">
        <v>0</v>
      </c>
      <c r="E30" s="510">
        <v>0</v>
      </c>
      <c r="F30" s="511" t="e">
        <f t="shared" si="1"/>
        <v>#DIV/0!</v>
      </c>
      <c r="G30" s="505"/>
    </row>
    <row r="31" spans="1:7" s="486" customFormat="1" ht="18.75" customHeight="1">
      <c r="A31" s="480" t="s">
        <v>179</v>
      </c>
      <c r="B31" s="481"/>
      <c r="C31" s="533" t="s">
        <v>1088</v>
      </c>
      <c r="D31" s="483">
        <f>SUM(D33,D37)</f>
        <v>526006</v>
      </c>
      <c r="E31" s="483">
        <f>SUM(E33,E37)</f>
        <v>197281.66999999998</v>
      </c>
      <c r="F31" s="484">
        <f t="shared" si="1"/>
        <v>37.505593092094</v>
      </c>
      <c r="G31" s="485"/>
    </row>
    <row r="32" spans="1:8" s="532" customFormat="1" ht="18.75" customHeight="1">
      <c r="A32" s="487"/>
      <c r="B32" s="488" t="s">
        <v>1094</v>
      </c>
      <c r="C32" s="531" t="s">
        <v>176</v>
      </c>
      <c r="D32" s="490">
        <f>SUM(D33,D37)</f>
        <v>526006</v>
      </c>
      <c r="E32" s="490">
        <f>SUM(E33,E37)</f>
        <v>197281.66999999998</v>
      </c>
      <c r="F32" s="491">
        <f t="shared" si="1"/>
        <v>37.505593092094</v>
      </c>
      <c r="G32" s="485"/>
      <c r="H32" s="493"/>
    </row>
    <row r="33" spans="1:7" s="499" customFormat="1" ht="18.75" customHeight="1">
      <c r="A33" s="494"/>
      <c r="B33" s="495"/>
      <c r="C33" s="496" t="s">
        <v>838</v>
      </c>
      <c r="D33" s="360">
        <f>SUM(D34)</f>
        <v>490956</v>
      </c>
      <c r="E33" s="360">
        <f>SUM(E34)</f>
        <v>197281.66999999998</v>
      </c>
      <c r="F33" s="497">
        <f t="shared" si="1"/>
        <v>40.18316712699305</v>
      </c>
      <c r="G33" s="498"/>
    </row>
    <row r="34" spans="1:7" s="506" customFormat="1" ht="18" customHeight="1">
      <c r="A34" s="500"/>
      <c r="B34" s="501"/>
      <c r="C34" s="502" t="s">
        <v>976</v>
      </c>
      <c r="D34" s="503">
        <f>SUM(D35,D36)</f>
        <v>490956</v>
      </c>
      <c r="E34" s="503">
        <f>SUM(E35,E36)</f>
        <v>197281.66999999998</v>
      </c>
      <c r="F34" s="504">
        <f t="shared" si="1"/>
        <v>40.18316712699305</v>
      </c>
      <c r="G34" s="505"/>
    </row>
    <row r="35" spans="1:7" s="512" customFormat="1" ht="18.75" customHeight="1">
      <c r="A35" s="507"/>
      <c r="B35" s="508"/>
      <c r="C35" s="509" t="s">
        <v>1096</v>
      </c>
      <c r="D35" s="510">
        <v>178800</v>
      </c>
      <c r="E35" s="510">
        <v>89029.4</v>
      </c>
      <c r="F35" s="511">
        <f t="shared" si="1"/>
        <v>49.79272930648769</v>
      </c>
      <c r="G35" s="505"/>
    </row>
    <row r="36" spans="1:7" s="512" customFormat="1" ht="18.75" customHeight="1">
      <c r="A36" s="507"/>
      <c r="B36" s="508"/>
      <c r="C36" s="509" t="s">
        <v>977</v>
      </c>
      <c r="D36" s="510">
        <v>312156</v>
      </c>
      <c r="E36" s="510">
        <v>108252.27</v>
      </c>
      <c r="F36" s="511">
        <f t="shared" si="1"/>
        <v>34.67890093414831</v>
      </c>
      <c r="G36" s="505"/>
    </row>
    <row r="37" spans="1:7" s="499" customFormat="1" ht="18.75" customHeight="1">
      <c r="A37" s="494"/>
      <c r="B37" s="495"/>
      <c r="C37" s="496" t="s">
        <v>979</v>
      </c>
      <c r="D37" s="360">
        <f>SUM(D38)</f>
        <v>35050</v>
      </c>
      <c r="E37" s="360">
        <f>SUM(E38)</f>
        <v>0</v>
      </c>
      <c r="F37" s="497">
        <f t="shared" si="1"/>
        <v>0</v>
      </c>
      <c r="G37" s="498"/>
    </row>
    <row r="38" spans="1:7" s="506" customFormat="1" ht="28.5" customHeight="1">
      <c r="A38" s="500"/>
      <c r="B38" s="501"/>
      <c r="C38" s="502" t="s">
        <v>251</v>
      </c>
      <c r="D38" s="503">
        <v>35050</v>
      </c>
      <c r="E38" s="503">
        <v>0</v>
      </c>
      <c r="F38" s="504">
        <f t="shared" si="1"/>
        <v>0</v>
      </c>
      <c r="G38" s="505"/>
    </row>
    <row r="39" spans="1:7" s="486" customFormat="1" ht="18.75" customHeight="1">
      <c r="A39" s="480" t="s">
        <v>263</v>
      </c>
      <c r="B39" s="481"/>
      <c r="C39" s="533" t="s">
        <v>264</v>
      </c>
      <c r="D39" s="483">
        <f>SUM(D40,D46,D54)</f>
        <v>32154478</v>
      </c>
      <c r="E39" s="483">
        <f>SUM(E40,E46,E54)</f>
        <v>3571519.4299999997</v>
      </c>
      <c r="F39" s="484">
        <f aca="true" t="shared" si="2" ref="F39:F46">E39/D39*100</f>
        <v>11.107378045446731</v>
      </c>
      <c r="G39" s="485"/>
    </row>
    <row r="40" spans="1:7" s="493" customFormat="1" ht="18.75" customHeight="1">
      <c r="A40" s="487"/>
      <c r="B40" s="488" t="s">
        <v>1069</v>
      </c>
      <c r="C40" s="531" t="s">
        <v>1070</v>
      </c>
      <c r="D40" s="490">
        <f>SUM(D41,D44)</f>
        <v>5366850</v>
      </c>
      <c r="E40" s="490">
        <f>SUM(E41,E44)</f>
        <v>2281401.02</v>
      </c>
      <c r="F40" s="491">
        <f t="shared" si="2"/>
        <v>42.50912583731612</v>
      </c>
      <c r="G40" s="485"/>
    </row>
    <row r="41" spans="1:7" s="499" customFormat="1" ht="18.75" customHeight="1">
      <c r="A41" s="494"/>
      <c r="B41" s="495"/>
      <c r="C41" s="496" t="s">
        <v>838</v>
      </c>
      <c r="D41" s="360">
        <f>SUM(D42)</f>
        <v>4466850</v>
      </c>
      <c r="E41" s="360">
        <f>SUM(E42)</f>
        <v>2281401.02</v>
      </c>
      <c r="F41" s="497">
        <f t="shared" si="2"/>
        <v>51.07404591602583</v>
      </c>
      <c r="G41" s="498"/>
    </row>
    <row r="42" spans="1:7" s="506" customFormat="1" ht="18" customHeight="1">
      <c r="A42" s="500"/>
      <c r="B42" s="501"/>
      <c r="C42" s="502" t="s">
        <v>976</v>
      </c>
      <c r="D42" s="503">
        <f>SUM(D43)</f>
        <v>4466850</v>
      </c>
      <c r="E42" s="503">
        <f>SUM(E43)</f>
        <v>2281401.02</v>
      </c>
      <c r="F42" s="504">
        <f>E42/D42*100</f>
        <v>51.07404591602583</v>
      </c>
      <c r="G42" s="505"/>
    </row>
    <row r="43" spans="1:7" s="512" customFormat="1" ht="18.75" customHeight="1">
      <c r="A43" s="507"/>
      <c r="B43" s="508"/>
      <c r="C43" s="509" t="s">
        <v>977</v>
      </c>
      <c r="D43" s="510">
        <v>4466850</v>
      </c>
      <c r="E43" s="510">
        <v>2281401.02</v>
      </c>
      <c r="F43" s="511">
        <f>E43/D43*100</f>
        <v>51.07404591602583</v>
      </c>
      <c r="G43" s="505"/>
    </row>
    <row r="44" spans="1:7" s="499" customFormat="1" ht="18.75" customHeight="1">
      <c r="A44" s="494"/>
      <c r="B44" s="495"/>
      <c r="C44" s="496" t="s">
        <v>979</v>
      </c>
      <c r="D44" s="360">
        <f>SUM(D45)</f>
        <v>900000</v>
      </c>
      <c r="E44" s="360">
        <f>SUM(E45)</f>
        <v>0</v>
      </c>
      <c r="F44" s="497">
        <f>E44/D44*100</f>
        <v>0</v>
      </c>
      <c r="G44" s="498"/>
    </row>
    <row r="45" spans="1:7" s="506" customFormat="1" ht="38.25" customHeight="1">
      <c r="A45" s="500"/>
      <c r="B45" s="501"/>
      <c r="C45" s="502" t="s">
        <v>180</v>
      </c>
      <c r="D45" s="503">
        <v>900000</v>
      </c>
      <c r="E45" s="503">
        <v>0</v>
      </c>
      <c r="F45" s="504">
        <f>E45/D45*100</f>
        <v>0</v>
      </c>
      <c r="G45" s="505"/>
    </row>
    <row r="46" spans="1:7" s="493" customFormat="1" ht="18.75" customHeight="1">
      <c r="A46" s="487"/>
      <c r="B46" s="488" t="s">
        <v>266</v>
      </c>
      <c r="C46" s="489" t="s">
        <v>267</v>
      </c>
      <c r="D46" s="490">
        <f>SUM(D47,D51)</f>
        <v>26309000</v>
      </c>
      <c r="E46" s="490">
        <f>SUM(E47,E51)</f>
        <v>1280089.28</v>
      </c>
      <c r="F46" s="491">
        <f t="shared" si="2"/>
        <v>4.86559458740355</v>
      </c>
      <c r="G46" s="485"/>
    </row>
    <row r="47" spans="1:7" s="499" customFormat="1" ht="18.75" customHeight="1">
      <c r="A47" s="494"/>
      <c r="B47" s="495"/>
      <c r="C47" s="496" t="s">
        <v>838</v>
      </c>
      <c r="D47" s="360">
        <f>SUM(D48)</f>
        <v>3642000</v>
      </c>
      <c r="E47" s="360">
        <f>SUM(E48)</f>
        <v>1171113.67</v>
      </c>
      <c r="F47" s="497">
        <f aca="true" t="shared" si="3" ref="F47:F66">E47/D47*100</f>
        <v>32.15578445908841</v>
      </c>
      <c r="G47" s="498"/>
    </row>
    <row r="48" spans="1:7" s="506" customFormat="1" ht="18" customHeight="1">
      <c r="A48" s="500"/>
      <c r="B48" s="501"/>
      <c r="C48" s="502" t="s">
        <v>976</v>
      </c>
      <c r="D48" s="503">
        <f>SUM(D49,D50)</f>
        <v>3642000</v>
      </c>
      <c r="E48" s="503">
        <f>SUM(E49,E50)</f>
        <v>1171113.67</v>
      </c>
      <c r="F48" s="504">
        <f t="shared" si="3"/>
        <v>32.15578445908841</v>
      </c>
      <c r="G48" s="505"/>
    </row>
    <row r="49" spans="1:7" s="512" customFormat="1" ht="18.75" customHeight="1">
      <c r="A49" s="507"/>
      <c r="B49" s="508"/>
      <c r="C49" s="509" t="s">
        <v>1096</v>
      </c>
      <c r="D49" s="510">
        <v>82200</v>
      </c>
      <c r="E49" s="510">
        <v>17499.79</v>
      </c>
      <c r="F49" s="511">
        <f t="shared" si="3"/>
        <v>21.289282238442823</v>
      </c>
      <c r="G49" s="505"/>
    </row>
    <row r="50" spans="1:7" s="512" customFormat="1" ht="18.75" customHeight="1">
      <c r="A50" s="507"/>
      <c r="B50" s="508"/>
      <c r="C50" s="509" t="s">
        <v>977</v>
      </c>
      <c r="D50" s="510">
        <v>3559800</v>
      </c>
      <c r="E50" s="510">
        <v>1153613.88</v>
      </c>
      <c r="F50" s="511">
        <f t="shared" si="3"/>
        <v>32.40670487106017</v>
      </c>
      <c r="G50" s="505"/>
    </row>
    <row r="51" spans="1:7" s="499" customFormat="1" ht="18.75" customHeight="1">
      <c r="A51" s="494"/>
      <c r="B51" s="495"/>
      <c r="C51" s="496" t="s">
        <v>979</v>
      </c>
      <c r="D51" s="360">
        <f>SUM(D52,D53)</f>
        <v>22667000</v>
      </c>
      <c r="E51" s="360">
        <f>SUM(E52,E53)</f>
        <v>108975.61</v>
      </c>
      <c r="F51" s="497">
        <f t="shared" si="3"/>
        <v>0.48076767988706043</v>
      </c>
      <c r="G51" s="498"/>
    </row>
    <row r="52" spans="1:7" s="506" customFormat="1" ht="28.5" customHeight="1">
      <c r="A52" s="500"/>
      <c r="B52" s="501"/>
      <c r="C52" s="502" t="s">
        <v>251</v>
      </c>
      <c r="D52" s="503">
        <v>22011970</v>
      </c>
      <c r="E52" s="503">
        <v>108975.61</v>
      </c>
      <c r="F52" s="504">
        <f t="shared" si="3"/>
        <v>0.49507431638331323</v>
      </c>
      <c r="G52" s="505"/>
    </row>
    <row r="53" spans="1:7" s="506" customFormat="1" ht="18" customHeight="1">
      <c r="A53" s="534"/>
      <c r="B53" s="501"/>
      <c r="C53" s="502" t="s">
        <v>989</v>
      </c>
      <c r="D53" s="503">
        <v>655030</v>
      </c>
      <c r="E53" s="503">
        <v>0</v>
      </c>
      <c r="F53" s="504">
        <f t="shared" si="3"/>
        <v>0</v>
      </c>
      <c r="G53" s="505"/>
    </row>
    <row r="54" spans="1:7" s="506" customFormat="1" ht="18.75" customHeight="1">
      <c r="A54" s="535"/>
      <c r="B54" s="488" t="s">
        <v>943</v>
      </c>
      <c r="C54" s="531" t="s">
        <v>944</v>
      </c>
      <c r="D54" s="490">
        <f>SUM(D55,D59)</f>
        <v>478628</v>
      </c>
      <c r="E54" s="490">
        <f>SUM(E55,E59)</f>
        <v>10029.130000000001</v>
      </c>
      <c r="F54" s="491">
        <f t="shared" si="3"/>
        <v>2.095391410448198</v>
      </c>
      <c r="G54" s="505"/>
    </row>
    <row r="55" spans="1:7" s="499" customFormat="1" ht="18.75" customHeight="1">
      <c r="A55" s="494"/>
      <c r="B55" s="495"/>
      <c r="C55" s="496" t="s">
        <v>838</v>
      </c>
      <c r="D55" s="360">
        <f>SUM(D56)</f>
        <v>28628</v>
      </c>
      <c r="E55" s="360">
        <f>SUM(E56)</f>
        <v>7679.83</v>
      </c>
      <c r="F55" s="497">
        <f t="shared" si="3"/>
        <v>26.826288947883192</v>
      </c>
      <c r="G55" s="498"/>
    </row>
    <row r="56" spans="1:7" s="506" customFormat="1" ht="18" customHeight="1">
      <c r="A56" s="500"/>
      <c r="B56" s="501"/>
      <c r="C56" s="502" t="s">
        <v>976</v>
      </c>
      <c r="D56" s="503">
        <f>SUM(D57,D58)</f>
        <v>28628</v>
      </c>
      <c r="E56" s="503">
        <f>SUM(E57,E58)</f>
        <v>7679.83</v>
      </c>
      <c r="F56" s="504">
        <f t="shared" si="3"/>
        <v>26.826288947883192</v>
      </c>
      <c r="G56" s="505"/>
    </row>
    <row r="57" spans="1:7" s="512" customFormat="1" ht="18.75" customHeight="1" hidden="1">
      <c r="A57" s="507"/>
      <c r="B57" s="508"/>
      <c r="C57" s="509" t="s">
        <v>1096</v>
      </c>
      <c r="D57" s="510">
        <v>0</v>
      </c>
      <c r="E57" s="510">
        <v>0</v>
      </c>
      <c r="F57" s="511" t="e">
        <f t="shared" si="3"/>
        <v>#DIV/0!</v>
      </c>
      <c r="G57" s="505"/>
    </row>
    <row r="58" spans="1:7" s="512" customFormat="1" ht="18.75" customHeight="1">
      <c r="A58" s="507"/>
      <c r="B58" s="508"/>
      <c r="C58" s="509" t="s">
        <v>977</v>
      </c>
      <c r="D58" s="510">
        <v>28628</v>
      </c>
      <c r="E58" s="510">
        <v>7679.83</v>
      </c>
      <c r="F58" s="511">
        <f t="shared" si="3"/>
        <v>26.826288947883192</v>
      </c>
      <c r="G58" s="505"/>
    </row>
    <row r="59" spans="1:7" s="499" customFormat="1" ht="18.75" customHeight="1">
      <c r="A59" s="494"/>
      <c r="B59" s="495"/>
      <c r="C59" s="496" t="s">
        <v>979</v>
      </c>
      <c r="D59" s="360">
        <f>SUM(D60)</f>
        <v>450000</v>
      </c>
      <c r="E59" s="360">
        <f>SUM(E60)</f>
        <v>2349.3</v>
      </c>
      <c r="F59" s="497">
        <f>E59/D59*100</f>
        <v>0.5220666666666667</v>
      </c>
      <c r="G59" s="498"/>
    </row>
    <row r="60" spans="1:7" s="506" customFormat="1" ht="20.25" customHeight="1">
      <c r="A60" s="500"/>
      <c r="B60" s="501"/>
      <c r="C60" s="502" t="s">
        <v>251</v>
      </c>
      <c r="D60" s="503">
        <v>450000</v>
      </c>
      <c r="E60" s="503">
        <v>2349.3</v>
      </c>
      <c r="F60" s="504">
        <f>E60/D60*100</f>
        <v>0.5220666666666667</v>
      </c>
      <c r="G60" s="505"/>
    </row>
    <row r="61" spans="1:7" s="486" customFormat="1" ht="18.75" customHeight="1">
      <c r="A61" s="536" t="s">
        <v>268</v>
      </c>
      <c r="B61" s="481"/>
      <c r="C61" s="533" t="s">
        <v>269</v>
      </c>
      <c r="D61" s="483">
        <f>D62+D68</f>
        <v>1709000</v>
      </c>
      <c r="E61" s="483">
        <f>E62+E68</f>
        <v>199726.88</v>
      </c>
      <c r="F61" s="484">
        <f t="shared" si="3"/>
        <v>11.686768870684611</v>
      </c>
      <c r="G61" s="485"/>
    </row>
    <row r="62" spans="1:7" s="493" customFormat="1" ht="18.75" customHeight="1">
      <c r="A62" s="535"/>
      <c r="B62" s="488" t="s">
        <v>328</v>
      </c>
      <c r="C62" s="531" t="s">
        <v>329</v>
      </c>
      <c r="D62" s="490">
        <f>SUM(D63)</f>
        <v>574000</v>
      </c>
      <c r="E62" s="490">
        <f>SUM(E63)</f>
        <v>158541.94</v>
      </c>
      <c r="F62" s="491">
        <f t="shared" si="3"/>
        <v>27.620547038327526</v>
      </c>
      <c r="G62" s="485"/>
    </row>
    <row r="63" spans="1:7" s="499" customFormat="1" ht="18.75" customHeight="1">
      <c r="A63" s="494"/>
      <c r="B63" s="495"/>
      <c r="C63" s="496" t="s">
        <v>838</v>
      </c>
      <c r="D63" s="360">
        <f>SUM(D64,D67)</f>
        <v>574000</v>
      </c>
      <c r="E63" s="360">
        <f>SUM(E64,E67)</f>
        <v>158541.94</v>
      </c>
      <c r="F63" s="497">
        <f t="shared" si="3"/>
        <v>27.620547038327526</v>
      </c>
      <c r="G63" s="498"/>
    </row>
    <row r="64" spans="1:7" s="506" customFormat="1" ht="18" customHeight="1">
      <c r="A64" s="500"/>
      <c r="B64" s="501"/>
      <c r="C64" s="502" t="s">
        <v>976</v>
      </c>
      <c r="D64" s="503">
        <f>SUM(D65,D66)</f>
        <v>574000</v>
      </c>
      <c r="E64" s="503">
        <f>SUM(E65,E66)</f>
        <v>158541.94</v>
      </c>
      <c r="F64" s="504">
        <f t="shared" si="3"/>
        <v>27.620547038327526</v>
      </c>
      <c r="G64" s="505"/>
    </row>
    <row r="65" spans="1:7" s="512" customFormat="1" ht="18.75" customHeight="1">
      <c r="A65" s="507"/>
      <c r="B65" s="508"/>
      <c r="C65" s="509" t="s">
        <v>1096</v>
      </c>
      <c r="D65" s="510">
        <v>32200</v>
      </c>
      <c r="E65" s="510">
        <v>2112.38</v>
      </c>
      <c r="F65" s="511">
        <f t="shared" si="3"/>
        <v>6.560186335403727</v>
      </c>
      <c r="G65" s="505"/>
    </row>
    <row r="66" spans="1:7" s="512" customFormat="1" ht="18.75" customHeight="1">
      <c r="A66" s="507"/>
      <c r="B66" s="508"/>
      <c r="C66" s="509" t="s">
        <v>977</v>
      </c>
      <c r="D66" s="510">
        <v>541800</v>
      </c>
      <c r="E66" s="510">
        <v>156429.56</v>
      </c>
      <c r="F66" s="511">
        <f t="shared" si="3"/>
        <v>28.87219638242894</v>
      </c>
      <c r="G66" s="505"/>
    </row>
    <row r="67" spans="1:7" s="506" customFormat="1" ht="18" customHeight="1" hidden="1">
      <c r="A67" s="500"/>
      <c r="B67" s="501"/>
      <c r="C67" s="502" t="s">
        <v>989</v>
      </c>
      <c r="D67" s="503">
        <v>0</v>
      </c>
      <c r="E67" s="503">
        <v>0</v>
      </c>
      <c r="F67" s="504" t="e">
        <f>E67/D67*100</f>
        <v>#DIV/0!</v>
      </c>
      <c r="G67" s="505"/>
    </row>
    <row r="68" spans="1:7" s="493" customFormat="1" ht="18.75" customHeight="1">
      <c r="A68" s="535"/>
      <c r="B68" s="488" t="s">
        <v>1097</v>
      </c>
      <c r="C68" s="531" t="s">
        <v>1098</v>
      </c>
      <c r="D68" s="490">
        <f>SUM(D69)</f>
        <v>1135000</v>
      </c>
      <c r="E68" s="490">
        <f>SUM(E69)</f>
        <v>41184.94</v>
      </c>
      <c r="F68" s="491">
        <f aca="true" t="shared" si="4" ref="F68:F95">E68/D68*100</f>
        <v>3.6286290748898677</v>
      </c>
      <c r="G68" s="485"/>
    </row>
    <row r="69" spans="1:7" s="499" customFormat="1" ht="18.75" customHeight="1">
      <c r="A69" s="494"/>
      <c r="B69" s="495"/>
      <c r="C69" s="496" t="s">
        <v>979</v>
      </c>
      <c r="D69" s="360">
        <f>SUM(D70,D71)</f>
        <v>1135000</v>
      </c>
      <c r="E69" s="360">
        <f>SUM(E70,E71)</f>
        <v>41184.94</v>
      </c>
      <c r="F69" s="497">
        <f t="shared" si="4"/>
        <v>3.6286290748898677</v>
      </c>
      <c r="G69" s="498"/>
    </row>
    <row r="70" spans="1:7" s="506" customFormat="1" ht="26.25" customHeight="1">
      <c r="A70" s="500"/>
      <c r="B70" s="501"/>
      <c r="C70" s="502" t="s">
        <v>251</v>
      </c>
      <c r="D70" s="503">
        <v>1135000</v>
      </c>
      <c r="E70" s="503">
        <v>41184.94</v>
      </c>
      <c r="F70" s="504">
        <f t="shared" si="4"/>
        <v>3.6286290748898677</v>
      </c>
      <c r="G70" s="505"/>
    </row>
    <row r="71" spans="1:7" s="506" customFormat="1" ht="18" customHeight="1" hidden="1">
      <c r="A71" s="534"/>
      <c r="B71" s="501"/>
      <c r="C71" s="502" t="s">
        <v>989</v>
      </c>
      <c r="D71" s="503">
        <v>0</v>
      </c>
      <c r="E71" s="503">
        <v>0</v>
      </c>
      <c r="F71" s="504" t="e">
        <f t="shared" si="4"/>
        <v>#DIV/0!</v>
      </c>
      <c r="G71" s="505"/>
    </row>
    <row r="72" spans="1:7" s="486" customFormat="1" ht="18" customHeight="1">
      <c r="A72" s="536" t="s">
        <v>270</v>
      </c>
      <c r="B72" s="481"/>
      <c r="C72" s="533" t="s">
        <v>216</v>
      </c>
      <c r="D72" s="483">
        <f>D79+D86+D73</f>
        <v>22464781</v>
      </c>
      <c r="E72" s="483">
        <f>E79+E86+E73</f>
        <v>1843029.04</v>
      </c>
      <c r="F72" s="484">
        <f t="shared" si="4"/>
        <v>8.204081936075852</v>
      </c>
      <c r="G72" s="485"/>
    </row>
    <row r="73" spans="1:7" s="493" customFormat="1" ht="18.75" customHeight="1">
      <c r="A73" s="535"/>
      <c r="B73" s="488" t="s">
        <v>1099</v>
      </c>
      <c r="C73" s="531" t="s">
        <v>1101</v>
      </c>
      <c r="D73" s="490">
        <f>SUM(D74,D76)</f>
        <v>8337600</v>
      </c>
      <c r="E73" s="490">
        <f>SUM(E74,E76)</f>
        <v>912879.4199999999</v>
      </c>
      <c r="F73" s="491">
        <f t="shared" si="4"/>
        <v>10.948947179044328</v>
      </c>
      <c r="G73" s="485"/>
    </row>
    <row r="74" spans="1:7" s="529" customFormat="1" ht="18.75" customHeight="1">
      <c r="A74" s="526"/>
      <c r="B74" s="527"/>
      <c r="C74" s="496" t="s">
        <v>838</v>
      </c>
      <c r="D74" s="360">
        <f>SUM(D75)</f>
        <v>892500</v>
      </c>
      <c r="E74" s="360">
        <f>SUM(E75)</f>
        <v>479000</v>
      </c>
      <c r="F74" s="497">
        <f t="shared" si="4"/>
        <v>53.66946778711485</v>
      </c>
      <c r="G74" s="528"/>
    </row>
    <row r="75" spans="1:7" s="506" customFormat="1" ht="18.75" customHeight="1">
      <c r="A75" s="500"/>
      <c r="B75" s="501"/>
      <c r="C75" s="502" t="s">
        <v>978</v>
      </c>
      <c r="D75" s="503">
        <v>892500</v>
      </c>
      <c r="E75" s="503">
        <v>479000</v>
      </c>
      <c r="F75" s="504">
        <f t="shared" si="4"/>
        <v>53.66946778711485</v>
      </c>
      <c r="G75" s="530"/>
    </row>
    <row r="76" spans="1:7" s="499" customFormat="1" ht="18.75" customHeight="1">
      <c r="A76" s="494"/>
      <c r="B76" s="495"/>
      <c r="C76" s="496" t="s">
        <v>979</v>
      </c>
      <c r="D76" s="360">
        <f>SUM(D77,D78)</f>
        <v>7445100</v>
      </c>
      <c r="E76" s="360">
        <f>SUM(E77,E78)</f>
        <v>433879.42</v>
      </c>
      <c r="F76" s="497">
        <f>E76/D76*100</f>
        <v>5.827717827833071</v>
      </c>
      <c r="G76" s="498"/>
    </row>
    <row r="77" spans="1:7" s="506" customFormat="1" ht="28.5" customHeight="1">
      <c r="A77" s="500"/>
      <c r="B77" s="501"/>
      <c r="C77" s="502" t="s">
        <v>251</v>
      </c>
      <c r="D77" s="503">
        <v>7445100</v>
      </c>
      <c r="E77" s="503">
        <v>433879.42</v>
      </c>
      <c r="F77" s="504">
        <f>E77/D77*100</f>
        <v>5.827717827833071</v>
      </c>
      <c r="G77" s="505"/>
    </row>
    <row r="78" spans="1:7" s="506" customFormat="1" ht="22.5" customHeight="1" hidden="1">
      <c r="A78" s="534"/>
      <c r="B78" s="501"/>
      <c r="C78" s="502" t="s">
        <v>989</v>
      </c>
      <c r="D78" s="503">
        <v>0</v>
      </c>
      <c r="E78" s="503">
        <v>0</v>
      </c>
      <c r="F78" s="504" t="e">
        <f>E78/D78*100</f>
        <v>#DIV/0!</v>
      </c>
      <c r="G78" s="505"/>
    </row>
    <row r="79" spans="1:7" s="493" customFormat="1" ht="17.25" customHeight="1">
      <c r="A79" s="535"/>
      <c r="B79" s="488" t="s">
        <v>217</v>
      </c>
      <c r="C79" s="489" t="s">
        <v>218</v>
      </c>
      <c r="D79" s="490">
        <f>SUM(D80,D84)</f>
        <v>6629650</v>
      </c>
      <c r="E79" s="490">
        <f>SUM(E80,E84)</f>
        <v>701939.56</v>
      </c>
      <c r="F79" s="491">
        <f t="shared" si="4"/>
        <v>10.587882618237767</v>
      </c>
      <c r="G79" s="485"/>
    </row>
    <row r="80" spans="1:7" s="499" customFormat="1" ht="18.75" customHeight="1">
      <c r="A80" s="494"/>
      <c r="B80" s="495"/>
      <c r="C80" s="496" t="s">
        <v>838</v>
      </c>
      <c r="D80" s="360">
        <f>SUM(D81)</f>
        <v>2629650</v>
      </c>
      <c r="E80" s="360">
        <f>SUM(E81)</f>
        <v>288863.56</v>
      </c>
      <c r="F80" s="497">
        <f t="shared" si="4"/>
        <v>10.984867187648547</v>
      </c>
      <c r="G80" s="498"/>
    </row>
    <row r="81" spans="1:7" s="506" customFormat="1" ht="18" customHeight="1">
      <c r="A81" s="500"/>
      <c r="B81" s="501"/>
      <c r="C81" s="502" t="s">
        <v>976</v>
      </c>
      <c r="D81" s="503">
        <f>SUM(D82,D83)</f>
        <v>2629650</v>
      </c>
      <c r="E81" s="503">
        <f>SUM(E82,E83)</f>
        <v>288863.56</v>
      </c>
      <c r="F81" s="504">
        <f>E81/D81*100</f>
        <v>10.984867187648547</v>
      </c>
      <c r="G81" s="505"/>
    </row>
    <row r="82" spans="1:7" s="512" customFormat="1" ht="18.75" customHeight="1" hidden="1">
      <c r="A82" s="507"/>
      <c r="B82" s="508"/>
      <c r="C82" s="509" t="s">
        <v>1096</v>
      </c>
      <c r="D82" s="510">
        <v>0</v>
      </c>
      <c r="E82" s="510">
        <v>0</v>
      </c>
      <c r="F82" s="511" t="e">
        <f>E82/D82*100</f>
        <v>#DIV/0!</v>
      </c>
      <c r="G82" s="505"/>
    </row>
    <row r="83" spans="1:7" s="512" customFormat="1" ht="18.75" customHeight="1">
      <c r="A83" s="507"/>
      <c r="B83" s="508"/>
      <c r="C83" s="509" t="s">
        <v>977</v>
      </c>
      <c r="D83" s="510">
        <v>2629650</v>
      </c>
      <c r="E83" s="510">
        <v>288863.56</v>
      </c>
      <c r="F83" s="511">
        <f>E83/D83*100</f>
        <v>10.984867187648547</v>
      </c>
      <c r="G83" s="505"/>
    </row>
    <row r="84" spans="1:7" s="499" customFormat="1" ht="18.75" customHeight="1">
      <c r="A84" s="494"/>
      <c r="B84" s="495"/>
      <c r="C84" s="496" t="s">
        <v>979</v>
      </c>
      <c r="D84" s="360">
        <f>SUM(D85)</f>
        <v>4000000</v>
      </c>
      <c r="E84" s="360">
        <f>SUM(E85)</f>
        <v>413076</v>
      </c>
      <c r="F84" s="497">
        <f>E84/D84*100</f>
        <v>10.3269</v>
      </c>
      <c r="G84" s="498"/>
    </row>
    <row r="85" spans="1:7" s="506" customFormat="1" ht="27" customHeight="1">
      <c r="A85" s="500"/>
      <c r="B85" s="501"/>
      <c r="C85" s="502" t="s">
        <v>251</v>
      </c>
      <c r="D85" s="503">
        <v>4000000</v>
      </c>
      <c r="E85" s="503">
        <v>413076</v>
      </c>
      <c r="F85" s="504">
        <f>E85/D85*100</f>
        <v>10.3269</v>
      </c>
      <c r="G85" s="505"/>
    </row>
    <row r="86" spans="1:7" s="493" customFormat="1" ht="18.75" customHeight="1">
      <c r="A86" s="535"/>
      <c r="B86" s="488" t="s">
        <v>1102</v>
      </c>
      <c r="C86" s="531" t="s">
        <v>176</v>
      </c>
      <c r="D86" s="490">
        <f>SUM(D87,D90)</f>
        <v>7497531</v>
      </c>
      <c r="E86" s="490">
        <f>SUM(E87,E90)</f>
        <v>228210.06</v>
      </c>
      <c r="F86" s="491">
        <f t="shared" si="4"/>
        <v>3.0438028198883074</v>
      </c>
      <c r="G86" s="485"/>
    </row>
    <row r="87" spans="1:7" s="499" customFormat="1" ht="18.75" customHeight="1">
      <c r="A87" s="494"/>
      <c r="B87" s="495"/>
      <c r="C87" s="496" t="s">
        <v>838</v>
      </c>
      <c r="D87" s="360">
        <f>SUM(D88)</f>
        <v>209500</v>
      </c>
      <c r="E87" s="360">
        <f>SUM(E88)</f>
        <v>149850</v>
      </c>
      <c r="F87" s="497">
        <f>E87/D87*100</f>
        <v>71.527446300716</v>
      </c>
      <c r="G87" s="498"/>
    </row>
    <row r="88" spans="1:7" s="506" customFormat="1" ht="18" customHeight="1">
      <c r="A88" s="500"/>
      <c r="B88" s="501"/>
      <c r="C88" s="502" t="s">
        <v>976</v>
      </c>
      <c r="D88" s="503">
        <f>SUM(D89)</f>
        <v>209500</v>
      </c>
      <c r="E88" s="503">
        <f>SUM(E89)</f>
        <v>149850</v>
      </c>
      <c r="F88" s="504">
        <f>E88/D88*100</f>
        <v>71.527446300716</v>
      </c>
      <c r="G88" s="505"/>
    </row>
    <row r="89" spans="1:7" s="512" customFormat="1" ht="18.75" customHeight="1">
      <c r="A89" s="507"/>
      <c r="B89" s="508"/>
      <c r="C89" s="509" t="s">
        <v>977</v>
      </c>
      <c r="D89" s="510">
        <v>209500</v>
      </c>
      <c r="E89" s="510">
        <v>149850</v>
      </c>
      <c r="F89" s="511">
        <f>E89/D89*100</f>
        <v>71.527446300716</v>
      </c>
      <c r="G89" s="505"/>
    </row>
    <row r="90" spans="1:7" s="499" customFormat="1" ht="18.75" customHeight="1">
      <c r="A90" s="494"/>
      <c r="B90" s="495"/>
      <c r="C90" s="496" t="s">
        <v>979</v>
      </c>
      <c r="D90" s="360">
        <f>SUM(D91,D92)</f>
        <v>7288031</v>
      </c>
      <c r="E90" s="360">
        <f>SUM(E91,E92)</f>
        <v>78360.06</v>
      </c>
      <c r="F90" s="497">
        <f t="shared" si="4"/>
        <v>1.0751883464820609</v>
      </c>
      <c r="G90" s="498"/>
    </row>
    <row r="91" spans="1:7" s="506" customFormat="1" ht="29.25" customHeight="1">
      <c r="A91" s="500"/>
      <c r="B91" s="501"/>
      <c r="C91" s="502" t="s">
        <v>251</v>
      </c>
      <c r="D91" s="503">
        <v>2120000</v>
      </c>
      <c r="E91" s="503">
        <v>78360.06</v>
      </c>
      <c r="F91" s="504">
        <f>E91/D91*100</f>
        <v>3.696229245283019</v>
      </c>
      <c r="G91" s="505"/>
    </row>
    <row r="92" spans="1:7" s="506" customFormat="1" ht="37.5" customHeight="1">
      <c r="A92" s="534"/>
      <c r="B92" s="501"/>
      <c r="C92" s="502" t="s">
        <v>180</v>
      </c>
      <c r="D92" s="503">
        <v>5168031</v>
      </c>
      <c r="E92" s="503">
        <v>0</v>
      </c>
      <c r="F92" s="504">
        <f>E92/D92*100</f>
        <v>0</v>
      </c>
      <c r="G92" s="505"/>
    </row>
    <row r="93" spans="1:7" s="486" customFormat="1" ht="18.75" customHeight="1">
      <c r="A93" s="536" t="s">
        <v>219</v>
      </c>
      <c r="B93" s="481"/>
      <c r="C93" s="482" t="s">
        <v>220</v>
      </c>
      <c r="D93" s="483">
        <f>SUM(D94,D99,D103,D107,D113)</f>
        <v>2383000</v>
      </c>
      <c r="E93" s="483">
        <f>SUM(E94,E99,E103,E107,E113)</f>
        <v>458942.61999999994</v>
      </c>
      <c r="F93" s="484">
        <f>E93/D93*100</f>
        <v>19.25902727654217</v>
      </c>
      <c r="G93" s="485"/>
    </row>
    <row r="94" spans="1:7" s="493" customFormat="1" ht="18.75" customHeight="1">
      <c r="A94" s="535"/>
      <c r="B94" s="488" t="s">
        <v>1103</v>
      </c>
      <c r="C94" s="489" t="s">
        <v>1104</v>
      </c>
      <c r="D94" s="490">
        <f>SUM(D95)</f>
        <v>465000</v>
      </c>
      <c r="E94" s="490">
        <f>SUM(E95)</f>
        <v>43493.52</v>
      </c>
      <c r="F94" s="491">
        <f t="shared" si="4"/>
        <v>9.353445161290322</v>
      </c>
      <c r="G94" s="485"/>
    </row>
    <row r="95" spans="1:7" s="499" customFormat="1" ht="18.75" customHeight="1">
      <c r="A95" s="494"/>
      <c r="B95" s="495"/>
      <c r="C95" s="496" t="s">
        <v>838</v>
      </c>
      <c r="D95" s="360">
        <f>SUM(D96)</f>
        <v>465000</v>
      </c>
      <c r="E95" s="360">
        <f>SUM(E96)</f>
        <v>43493.52</v>
      </c>
      <c r="F95" s="497">
        <f t="shared" si="4"/>
        <v>9.353445161290322</v>
      </c>
      <c r="G95" s="498"/>
    </row>
    <row r="96" spans="1:7" s="506" customFormat="1" ht="18" customHeight="1">
      <c r="A96" s="500"/>
      <c r="B96" s="501"/>
      <c r="C96" s="502" t="s">
        <v>976</v>
      </c>
      <c r="D96" s="503">
        <f>SUM(D97,D98)</f>
        <v>465000</v>
      </c>
      <c r="E96" s="503">
        <f>SUM(E97,E98)</f>
        <v>43493.52</v>
      </c>
      <c r="F96" s="504">
        <f aca="true" t="shared" si="5" ref="F96:F141">E96/D96*100</f>
        <v>9.353445161290322</v>
      </c>
      <c r="G96" s="505"/>
    </row>
    <row r="97" spans="1:7" s="512" customFormat="1" ht="18.75" customHeight="1">
      <c r="A97" s="507"/>
      <c r="B97" s="508"/>
      <c r="C97" s="509" t="s">
        <v>1096</v>
      </c>
      <c r="D97" s="510">
        <v>18270</v>
      </c>
      <c r="E97" s="510">
        <v>420</v>
      </c>
      <c r="F97" s="511">
        <f t="shared" si="5"/>
        <v>2.2988505747126435</v>
      </c>
      <c r="G97" s="505"/>
    </row>
    <row r="98" spans="1:7" s="512" customFormat="1" ht="18.75" customHeight="1">
      <c r="A98" s="507"/>
      <c r="B98" s="508"/>
      <c r="C98" s="509" t="s">
        <v>977</v>
      </c>
      <c r="D98" s="510">
        <v>446730</v>
      </c>
      <c r="E98" s="510">
        <v>43073.52</v>
      </c>
      <c r="F98" s="511">
        <f t="shared" si="5"/>
        <v>9.641958229803237</v>
      </c>
      <c r="G98" s="505"/>
    </row>
    <row r="99" spans="1:7" s="493" customFormat="1" ht="18.75" customHeight="1" hidden="1">
      <c r="A99" s="535"/>
      <c r="B99" s="488" t="s">
        <v>222</v>
      </c>
      <c r="C99" s="489" t="s">
        <v>223</v>
      </c>
      <c r="D99" s="490">
        <f aca="true" t="shared" si="6" ref="D99:E105">SUM(D100)</f>
        <v>0</v>
      </c>
      <c r="E99" s="490">
        <f t="shared" si="6"/>
        <v>0</v>
      </c>
      <c r="F99" s="491" t="e">
        <f t="shared" si="5"/>
        <v>#DIV/0!</v>
      </c>
      <c r="G99" s="485"/>
    </row>
    <row r="100" spans="1:7" s="499" customFormat="1" ht="18.75" customHeight="1" hidden="1">
      <c r="A100" s="494"/>
      <c r="B100" s="495"/>
      <c r="C100" s="496" t="s">
        <v>838</v>
      </c>
      <c r="D100" s="360">
        <f t="shared" si="6"/>
        <v>0</v>
      </c>
      <c r="E100" s="360">
        <f t="shared" si="6"/>
        <v>0</v>
      </c>
      <c r="F100" s="497" t="e">
        <f t="shared" si="5"/>
        <v>#DIV/0!</v>
      </c>
      <c r="G100" s="498"/>
    </row>
    <row r="101" spans="1:7" s="506" customFormat="1" ht="18" customHeight="1" hidden="1">
      <c r="A101" s="500"/>
      <c r="B101" s="501"/>
      <c r="C101" s="502" t="s">
        <v>976</v>
      </c>
      <c r="D101" s="503">
        <f t="shared" si="6"/>
        <v>0</v>
      </c>
      <c r="E101" s="503">
        <f t="shared" si="6"/>
        <v>0</v>
      </c>
      <c r="F101" s="504" t="e">
        <f t="shared" si="5"/>
        <v>#DIV/0!</v>
      </c>
      <c r="G101" s="505"/>
    </row>
    <row r="102" spans="1:7" s="512" customFormat="1" ht="18.75" customHeight="1" hidden="1">
      <c r="A102" s="507"/>
      <c r="B102" s="508"/>
      <c r="C102" s="509" t="s">
        <v>977</v>
      </c>
      <c r="D102" s="510">
        <v>0</v>
      </c>
      <c r="E102" s="510">
        <v>0</v>
      </c>
      <c r="F102" s="511" t="e">
        <f t="shared" si="5"/>
        <v>#DIV/0!</v>
      </c>
      <c r="G102" s="505"/>
    </row>
    <row r="103" spans="1:7" s="493" customFormat="1" ht="18.75" customHeight="1">
      <c r="A103" s="535"/>
      <c r="B103" s="488" t="s">
        <v>1310</v>
      </c>
      <c r="C103" s="489" t="s">
        <v>1311</v>
      </c>
      <c r="D103" s="490">
        <f t="shared" si="6"/>
        <v>150000</v>
      </c>
      <c r="E103" s="490">
        <f t="shared" si="6"/>
        <v>48808.82</v>
      </c>
      <c r="F103" s="491">
        <f>E103/D103*100</f>
        <v>32.539213333333336</v>
      </c>
      <c r="G103" s="485"/>
    </row>
    <row r="104" spans="1:7" s="499" customFormat="1" ht="18.75" customHeight="1">
      <c r="A104" s="494"/>
      <c r="B104" s="495"/>
      <c r="C104" s="496" t="s">
        <v>838</v>
      </c>
      <c r="D104" s="360">
        <f t="shared" si="6"/>
        <v>150000</v>
      </c>
      <c r="E104" s="360">
        <f t="shared" si="6"/>
        <v>48808.82</v>
      </c>
      <c r="F104" s="497">
        <f>E104/D104*100</f>
        <v>32.539213333333336</v>
      </c>
      <c r="G104" s="498"/>
    </row>
    <row r="105" spans="1:7" s="506" customFormat="1" ht="18" customHeight="1">
      <c r="A105" s="500"/>
      <c r="B105" s="501"/>
      <c r="C105" s="502" t="s">
        <v>976</v>
      </c>
      <c r="D105" s="503">
        <f t="shared" si="6"/>
        <v>150000</v>
      </c>
      <c r="E105" s="503">
        <f t="shared" si="6"/>
        <v>48808.82</v>
      </c>
      <c r="F105" s="504">
        <f>E105/D105*100</f>
        <v>32.539213333333336</v>
      </c>
      <c r="G105" s="505"/>
    </row>
    <row r="106" spans="1:7" s="512" customFormat="1" ht="18.75" customHeight="1">
      <c r="A106" s="507"/>
      <c r="B106" s="508"/>
      <c r="C106" s="509" t="s">
        <v>977</v>
      </c>
      <c r="D106" s="510">
        <v>150000</v>
      </c>
      <c r="E106" s="510">
        <v>48808.82</v>
      </c>
      <c r="F106" s="511">
        <f>E106/D106*100</f>
        <v>32.539213333333336</v>
      </c>
      <c r="G106" s="505"/>
    </row>
    <row r="107" spans="1:8" s="532" customFormat="1" ht="18.75" customHeight="1">
      <c r="A107" s="535"/>
      <c r="B107" s="488" t="s">
        <v>215</v>
      </c>
      <c r="C107" s="537" t="s">
        <v>643</v>
      </c>
      <c r="D107" s="490">
        <f>SUM(D108,D111)</f>
        <v>1168000</v>
      </c>
      <c r="E107" s="490">
        <f>SUM(E108,E111)</f>
        <v>366197.6</v>
      </c>
      <c r="F107" s="491">
        <f t="shared" si="5"/>
        <v>31.352534246575342</v>
      </c>
      <c r="G107" s="485"/>
      <c r="H107" s="493"/>
    </row>
    <row r="108" spans="1:7" s="499" customFormat="1" ht="18.75" customHeight="1">
      <c r="A108" s="494"/>
      <c r="B108" s="495"/>
      <c r="C108" s="496" t="s">
        <v>838</v>
      </c>
      <c r="D108" s="360">
        <f>SUM(D109)</f>
        <v>918000</v>
      </c>
      <c r="E108" s="360">
        <f>SUM(E109)</f>
        <v>360454.69</v>
      </c>
      <c r="F108" s="497">
        <f t="shared" si="5"/>
        <v>39.26521677559913</v>
      </c>
      <c r="G108" s="498"/>
    </row>
    <row r="109" spans="1:7" s="506" customFormat="1" ht="18" customHeight="1">
      <c r="A109" s="500"/>
      <c r="B109" s="501"/>
      <c r="C109" s="502" t="s">
        <v>976</v>
      </c>
      <c r="D109" s="503">
        <f>SUM(D110)</f>
        <v>918000</v>
      </c>
      <c r="E109" s="503">
        <f>SUM(E110)</f>
        <v>360454.69</v>
      </c>
      <c r="F109" s="504">
        <f t="shared" si="5"/>
        <v>39.26521677559913</v>
      </c>
      <c r="G109" s="505"/>
    </row>
    <row r="110" spans="1:7" s="512" customFormat="1" ht="18.75" customHeight="1">
      <c r="A110" s="507"/>
      <c r="B110" s="508"/>
      <c r="C110" s="509" t="s">
        <v>977</v>
      </c>
      <c r="D110" s="510">
        <v>918000</v>
      </c>
      <c r="E110" s="510">
        <v>360454.69</v>
      </c>
      <c r="F110" s="511">
        <f t="shared" si="5"/>
        <v>39.26521677559913</v>
      </c>
      <c r="G110" s="505"/>
    </row>
    <row r="111" spans="1:7" s="499" customFormat="1" ht="18.75" customHeight="1">
      <c r="A111" s="494"/>
      <c r="B111" s="495"/>
      <c r="C111" s="496" t="s">
        <v>979</v>
      </c>
      <c r="D111" s="360">
        <f>SUM(D112)</f>
        <v>250000</v>
      </c>
      <c r="E111" s="360">
        <f>SUM(E112)</f>
        <v>5742.91</v>
      </c>
      <c r="F111" s="497">
        <f t="shared" si="5"/>
        <v>2.297164</v>
      </c>
      <c r="G111" s="498"/>
    </row>
    <row r="112" spans="1:7" s="506" customFormat="1" ht="27" customHeight="1">
      <c r="A112" s="500"/>
      <c r="B112" s="501"/>
      <c r="C112" s="502" t="s">
        <v>251</v>
      </c>
      <c r="D112" s="503">
        <v>250000</v>
      </c>
      <c r="E112" s="503">
        <v>5742.91</v>
      </c>
      <c r="F112" s="504">
        <f t="shared" si="5"/>
        <v>2.297164</v>
      </c>
      <c r="G112" s="505"/>
    </row>
    <row r="113" spans="1:8" s="532" customFormat="1" ht="18.75" customHeight="1">
      <c r="A113" s="535"/>
      <c r="B113" s="488" t="s">
        <v>656</v>
      </c>
      <c r="C113" s="537" t="s">
        <v>176</v>
      </c>
      <c r="D113" s="490">
        <f>SUM(D114,D117)</f>
        <v>600000</v>
      </c>
      <c r="E113" s="490">
        <f>SUM(E114,E117)</f>
        <v>442.68</v>
      </c>
      <c r="F113" s="491">
        <f aca="true" t="shared" si="7" ref="F113:F119">E113/D113*100</f>
        <v>0.07378</v>
      </c>
      <c r="G113" s="485"/>
      <c r="H113" s="493"/>
    </row>
    <row r="114" spans="1:7" s="499" customFormat="1" ht="18.75" customHeight="1" hidden="1">
      <c r="A114" s="494"/>
      <c r="B114" s="495"/>
      <c r="C114" s="496" t="s">
        <v>838</v>
      </c>
      <c r="D114" s="360">
        <f>SUM(D115)</f>
        <v>0</v>
      </c>
      <c r="E114" s="360">
        <f>SUM(E115)</f>
        <v>0</v>
      </c>
      <c r="F114" s="497" t="e">
        <f t="shared" si="7"/>
        <v>#DIV/0!</v>
      </c>
      <c r="G114" s="498"/>
    </row>
    <row r="115" spans="1:7" s="506" customFormat="1" ht="18" customHeight="1" hidden="1">
      <c r="A115" s="500"/>
      <c r="B115" s="501"/>
      <c r="C115" s="502" t="s">
        <v>976</v>
      </c>
      <c r="D115" s="503">
        <f>SUM(D116)</f>
        <v>0</v>
      </c>
      <c r="E115" s="503">
        <f>SUM(E116)</f>
        <v>0</v>
      </c>
      <c r="F115" s="504" t="e">
        <f t="shared" si="7"/>
        <v>#DIV/0!</v>
      </c>
      <c r="G115" s="505"/>
    </row>
    <row r="116" spans="1:7" s="512" customFormat="1" ht="18.75" customHeight="1" hidden="1">
      <c r="A116" s="507"/>
      <c r="B116" s="508"/>
      <c r="C116" s="509" t="s">
        <v>977</v>
      </c>
      <c r="D116" s="510">
        <v>0</v>
      </c>
      <c r="E116" s="510">
        <v>0</v>
      </c>
      <c r="F116" s="511" t="e">
        <f t="shared" si="7"/>
        <v>#DIV/0!</v>
      </c>
      <c r="G116" s="505"/>
    </row>
    <row r="117" spans="1:7" s="499" customFormat="1" ht="18.75" customHeight="1">
      <c r="A117" s="494"/>
      <c r="B117" s="495"/>
      <c r="C117" s="496" t="s">
        <v>979</v>
      </c>
      <c r="D117" s="360">
        <f>SUM(D118,D119)</f>
        <v>600000</v>
      </c>
      <c r="E117" s="360">
        <f>SUM(E118,E119)</f>
        <v>442.68</v>
      </c>
      <c r="F117" s="497">
        <f t="shared" si="7"/>
        <v>0.07378</v>
      </c>
      <c r="G117" s="498"/>
    </row>
    <row r="118" spans="1:7" s="506" customFormat="1" ht="18.75" customHeight="1">
      <c r="A118" s="500"/>
      <c r="B118" s="501"/>
      <c r="C118" s="502" t="s">
        <v>989</v>
      </c>
      <c r="D118" s="503">
        <v>590000</v>
      </c>
      <c r="E118" s="503">
        <v>0</v>
      </c>
      <c r="F118" s="504">
        <f t="shared" si="7"/>
        <v>0</v>
      </c>
      <c r="G118" s="530"/>
    </row>
    <row r="119" spans="1:7" s="506" customFormat="1" ht="27" customHeight="1">
      <c r="A119" s="500"/>
      <c r="B119" s="501"/>
      <c r="C119" s="502" t="s">
        <v>251</v>
      </c>
      <c r="D119" s="503">
        <v>10000</v>
      </c>
      <c r="E119" s="503">
        <v>442.68</v>
      </c>
      <c r="F119" s="504">
        <f t="shared" si="7"/>
        <v>4.4268</v>
      </c>
      <c r="G119" s="505"/>
    </row>
    <row r="120" spans="1:7" s="486" customFormat="1" ht="18.75" customHeight="1">
      <c r="A120" s="536" t="s">
        <v>644</v>
      </c>
      <c r="B120" s="481"/>
      <c r="C120" s="533" t="s">
        <v>645</v>
      </c>
      <c r="D120" s="483">
        <f>SUM(D121,D126,D134,D145,D151,D157)</f>
        <v>34792449</v>
      </c>
      <c r="E120" s="483">
        <f>SUM(E121,E126,E134,E145,E151,E157)</f>
        <v>11408107.23</v>
      </c>
      <c r="F120" s="484">
        <f t="shared" si="5"/>
        <v>32.78903198219821</v>
      </c>
      <c r="G120" s="485"/>
    </row>
    <row r="121" spans="1:7" s="493" customFormat="1" ht="18.75" customHeight="1">
      <c r="A121" s="535"/>
      <c r="B121" s="488" t="s">
        <v>646</v>
      </c>
      <c r="C121" s="537" t="s">
        <v>652</v>
      </c>
      <c r="D121" s="490">
        <f>D122</f>
        <v>394529</v>
      </c>
      <c r="E121" s="490">
        <f>E122</f>
        <v>244276.08</v>
      </c>
      <c r="F121" s="491">
        <f t="shared" si="5"/>
        <v>61.915874371719184</v>
      </c>
      <c r="G121" s="485"/>
    </row>
    <row r="122" spans="1:7" s="499" customFormat="1" ht="18.75" customHeight="1">
      <c r="A122" s="494"/>
      <c r="B122" s="495"/>
      <c r="C122" s="496" t="s">
        <v>838</v>
      </c>
      <c r="D122" s="360">
        <f>SUM(D123)</f>
        <v>394529</v>
      </c>
      <c r="E122" s="360">
        <f>SUM(E123)</f>
        <v>244276.08</v>
      </c>
      <c r="F122" s="497">
        <f t="shared" si="5"/>
        <v>61.915874371719184</v>
      </c>
      <c r="G122" s="498"/>
    </row>
    <row r="123" spans="1:7" s="506" customFormat="1" ht="18" customHeight="1">
      <c r="A123" s="500"/>
      <c r="B123" s="501"/>
      <c r="C123" s="502" t="s">
        <v>976</v>
      </c>
      <c r="D123" s="503">
        <f>SUM(D124,D125)</f>
        <v>394529</v>
      </c>
      <c r="E123" s="503">
        <f>SUM(E124,E125)</f>
        <v>244276.08</v>
      </c>
      <c r="F123" s="504">
        <f t="shared" si="5"/>
        <v>61.915874371719184</v>
      </c>
      <c r="G123" s="505"/>
    </row>
    <row r="124" spans="1:7" s="512" customFormat="1" ht="18.75" customHeight="1">
      <c r="A124" s="507"/>
      <c r="B124" s="508"/>
      <c r="C124" s="509" t="s">
        <v>1096</v>
      </c>
      <c r="D124" s="510">
        <v>394529</v>
      </c>
      <c r="E124" s="510">
        <v>244276.08</v>
      </c>
      <c r="F124" s="511">
        <f t="shared" si="5"/>
        <v>61.915874371719184</v>
      </c>
      <c r="G124" s="505"/>
    </row>
    <row r="125" spans="1:7" s="512" customFormat="1" ht="18.75" customHeight="1" hidden="1">
      <c r="A125" s="507"/>
      <c r="B125" s="508"/>
      <c r="C125" s="509" t="s">
        <v>977</v>
      </c>
      <c r="D125" s="510">
        <v>0</v>
      </c>
      <c r="E125" s="510">
        <v>0</v>
      </c>
      <c r="F125" s="511" t="e">
        <f t="shared" si="5"/>
        <v>#DIV/0!</v>
      </c>
      <c r="G125" s="505"/>
    </row>
    <row r="126" spans="1:7" s="493" customFormat="1" ht="18.75" customHeight="1">
      <c r="A126" s="535"/>
      <c r="B126" s="488" t="s">
        <v>1105</v>
      </c>
      <c r="C126" s="531" t="s">
        <v>1106</v>
      </c>
      <c r="D126" s="490">
        <f>SUM(D127,D132)</f>
        <v>500000</v>
      </c>
      <c r="E126" s="490">
        <f>SUM(E127,E132)</f>
        <v>230579.54</v>
      </c>
      <c r="F126" s="491">
        <f t="shared" si="5"/>
        <v>46.115908</v>
      </c>
      <c r="G126" s="485"/>
    </row>
    <row r="127" spans="1:7" s="499" customFormat="1" ht="18.75" customHeight="1">
      <c r="A127" s="494"/>
      <c r="B127" s="495"/>
      <c r="C127" s="496" t="s">
        <v>838</v>
      </c>
      <c r="D127" s="360">
        <f>SUM(D128,D131)</f>
        <v>485000</v>
      </c>
      <c r="E127" s="360">
        <f>SUM(E128,E131)</f>
        <v>230579.54</v>
      </c>
      <c r="F127" s="497">
        <f t="shared" si="5"/>
        <v>47.542173195876295</v>
      </c>
      <c r="G127" s="498"/>
    </row>
    <row r="128" spans="1:7" s="506" customFormat="1" ht="18" customHeight="1">
      <c r="A128" s="500"/>
      <c r="B128" s="501"/>
      <c r="C128" s="502" t="s">
        <v>976</v>
      </c>
      <c r="D128" s="503">
        <f>SUM(D129,D130)</f>
        <v>47000</v>
      </c>
      <c r="E128" s="503">
        <f>SUM(E129,E130)</f>
        <v>10767.34</v>
      </c>
      <c r="F128" s="504">
        <f t="shared" si="5"/>
        <v>22.90923404255319</v>
      </c>
      <c r="G128" s="505"/>
    </row>
    <row r="129" spans="1:7" s="512" customFormat="1" ht="18.75" customHeight="1" hidden="1">
      <c r="A129" s="507"/>
      <c r="B129" s="508"/>
      <c r="C129" s="509" t="s">
        <v>1096</v>
      </c>
      <c r="D129" s="510">
        <v>0</v>
      </c>
      <c r="E129" s="510">
        <v>0</v>
      </c>
      <c r="F129" s="511" t="e">
        <f>E129/D129*100</f>
        <v>#DIV/0!</v>
      </c>
      <c r="G129" s="505"/>
    </row>
    <row r="130" spans="1:7" s="512" customFormat="1" ht="18.75" customHeight="1">
      <c r="A130" s="507"/>
      <c r="B130" s="508"/>
      <c r="C130" s="509" t="s">
        <v>977</v>
      </c>
      <c r="D130" s="510">
        <v>47000</v>
      </c>
      <c r="E130" s="510">
        <v>10767.34</v>
      </c>
      <c r="F130" s="511">
        <f t="shared" si="5"/>
        <v>22.90923404255319</v>
      </c>
      <c r="G130" s="505"/>
    </row>
    <row r="131" spans="1:7" s="506" customFormat="1" ht="18.75" customHeight="1">
      <c r="A131" s="534"/>
      <c r="B131" s="501"/>
      <c r="C131" s="538" t="s">
        <v>982</v>
      </c>
      <c r="D131" s="503">
        <v>438000</v>
      </c>
      <c r="E131" s="503">
        <v>219812.2</v>
      </c>
      <c r="F131" s="504">
        <f t="shared" si="5"/>
        <v>50.18543378995434</v>
      </c>
      <c r="G131" s="505"/>
    </row>
    <row r="132" spans="1:7" s="499" customFormat="1" ht="18.75" customHeight="1">
      <c r="A132" s="494"/>
      <c r="B132" s="495"/>
      <c r="C132" s="496" t="s">
        <v>979</v>
      </c>
      <c r="D132" s="360">
        <f>SUM(D133)</f>
        <v>15000</v>
      </c>
      <c r="E132" s="360">
        <f>SUM(E133)</f>
        <v>0</v>
      </c>
      <c r="F132" s="497">
        <f t="shared" si="5"/>
        <v>0</v>
      </c>
      <c r="G132" s="498"/>
    </row>
    <row r="133" spans="1:7" s="506" customFormat="1" ht="26.25" customHeight="1">
      <c r="A133" s="500"/>
      <c r="B133" s="501"/>
      <c r="C133" s="502" t="s">
        <v>251</v>
      </c>
      <c r="D133" s="503">
        <v>15000</v>
      </c>
      <c r="E133" s="503">
        <v>0</v>
      </c>
      <c r="F133" s="504">
        <f t="shared" si="5"/>
        <v>0</v>
      </c>
      <c r="G133" s="505"/>
    </row>
    <row r="134" spans="1:7" s="493" customFormat="1" ht="18.75" customHeight="1">
      <c r="A134" s="535"/>
      <c r="B134" s="488" t="s">
        <v>1</v>
      </c>
      <c r="C134" s="531" t="s">
        <v>315</v>
      </c>
      <c r="D134" s="490">
        <f>SUM(D135,D142)</f>
        <v>22890910</v>
      </c>
      <c r="E134" s="490">
        <f>SUM(E135,E142)</f>
        <v>8658924.23</v>
      </c>
      <c r="F134" s="491">
        <f t="shared" si="5"/>
        <v>37.82691133729502</v>
      </c>
      <c r="G134" s="485"/>
    </row>
    <row r="135" spans="1:7" s="499" customFormat="1" ht="18.75" customHeight="1">
      <c r="A135" s="494"/>
      <c r="B135" s="495"/>
      <c r="C135" s="496" t="s">
        <v>838</v>
      </c>
      <c r="D135" s="360">
        <f>SUM(D136,D139,D140,D141)</f>
        <v>21006910</v>
      </c>
      <c r="E135" s="360">
        <f>SUM(E136,E139,E140,E141)</f>
        <v>8615691.23</v>
      </c>
      <c r="F135" s="497">
        <f t="shared" si="5"/>
        <v>41.01360566594516</v>
      </c>
      <c r="G135" s="498"/>
    </row>
    <row r="136" spans="1:7" s="506" customFormat="1" ht="18" customHeight="1">
      <c r="A136" s="500"/>
      <c r="B136" s="501"/>
      <c r="C136" s="502" t="s">
        <v>976</v>
      </c>
      <c r="D136" s="503">
        <f>SUM(D137,D138)</f>
        <v>20638355</v>
      </c>
      <c r="E136" s="503">
        <f>SUM(E137,E138)</f>
        <v>8608739.52</v>
      </c>
      <c r="F136" s="504">
        <f t="shared" si="5"/>
        <v>41.71233375915862</v>
      </c>
      <c r="G136" s="505"/>
    </row>
    <row r="137" spans="1:7" s="512" customFormat="1" ht="18.75" customHeight="1">
      <c r="A137" s="507"/>
      <c r="B137" s="508"/>
      <c r="C137" s="509" t="s">
        <v>1096</v>
      </c>
      <c r="D137" s="510">
        <v>15594903</v>
      </c>
      <c r="E137" s="510">
        <v>6982154.34</v>
      </c>
      <c r="F137" s="511">
        <f t="shared" si="5"/>
        <v>44.772028014537824</v>
      </c>
      <c r="G137" s="505"/>
    </row>
    <row r="138" spans="1:7" s="512" customFormat="1" ht="18.75" customHeight="1">
      <c r="A138" s="507"/>
      <c r="B138" s="508"/>
      <c r="C138" s="509" t="s">
        <v>977</v>
      </c>
      <c r="D138" s="510">
        <v>5043452</v>
      </c>
      <c r="E138" s="510">
        <v>1626585.18</v>
      </c>
      <c r="F138" s="511">
        <f t="shared" si="5"/>
        <v>32.251425809148174</v>
      </c>
      <c r="G138" s="505"/>
    </row>
    <row r="139" spans="1:7" s="512" customFormat="1" ht="18.75" customHeight="1">
      <c r="A139" s="539"/>
      <c r="B139" s="508"/>
      <c r="C139" s="538" t="s">
        <v>978</v>
      </c>
      <c r="D139" s="503">
        <v>55</v>
      </c>
      <c r="E139" s="503">
        <v>54.9</v>
      </c>
      <c r="F139" s="504">
        <f t="shared" si="5"/>
        <v>99.81818181818181</v>
      </c>
      <c r="G139" s="505"/>
    </row>
    <row r="140" spans="1:7" s="506" customFormat="1" ht="18.75" customHeight="1">
      <c r="A140" s="534"/>
      <c r="B140" s="501"/>
      <c r="C140" s="538" t="s">
        <v>982</v>
      </c>
      <c r="D140" s="503">
        <v>8000</v>
      </c>
      <c r="E140" s="503">
        <v>6896.81</v>
      </c>
      <c r="F140" s="504">
        <f t="shared" si="5"/>
        <v>86.210125</v>
      </c>
      <c r="G140" s="505"/>
    </row>
    <row r="141" spans="1:7" s="506" customFormat="1" ht="18.75" customHeight="1">
      <c r="A141" s="534"/>
      <c r="B141" s="501"/>
      <c r="C141" s="538" t="s">
        <v>989</v>
      </c>
      <c r="D141" s="503">
        <v>360500</v>
      </c>
      <c r="E141" s="503">
        <v>0</v>
      </c>
      <c r="F141" s="504">
        <f t="shared" si="5"/>
        <v>0</v>
      </c>
      <c r="G141" s="505"/>
    </row>
    <row r="142" spans="1:7" s="499" customFormat="1" ht="18.75" customHeight="1">
      <c r="A142" s="494"/>
      <c r="B142" s="495"/>
      <c r="C142" s="496" t="s">
        <v>979</v>
      </c>
      <c r="D142" s="360">
        <f>SUM(D143,D144)</f>
        <v>1884000</v>
      </c>
      <c r="E142" s="360">
        <f>SUM(E143,E144)</f>
        <v>43233</v>
      </c>
      <c r="F142" s="497">
        <f aca="true" t="shared" si="8" ref="F142:F212">E142/D142*100</f>
        <v>2.2947452229299365</v>
      </c>
      <c r="G142" s="498"/>
    </row>
    <row r="143" spans="1:7" s="506" customFormat="1" ht="18.75" customHeight="1">
      <c r="A143" s="500"/>
      <c r="B143" s="501"/>
      <c r="C143" s="502" t="s">
        <v>989</v>
      </c>
      <c r="D143" s="503">
        <v>1274000</v>
      </c>
      <c r="E143" s="503">
        <v>0</v>
      </c>
      <c r="F143" s="504">
        <f t="shared" si="8"/>
        <v>0</v>
      </c>
      <c r="G143" s="530"/>
    </row>
    <row r="144" spans="1:7" s="506" customFormat="1" ht="25.5" customHeight="1">
      <c r="A144" s="500"/>
      <c r="B144" s="501"/>
      <c r="C144" s="502" t="s">
        <v>251</v>
      </c>
      <c r="D144" s="503">
        <v>610000</v>
      </c>
      <c r="E144" s="503">
        <v>43233</v>
      </c>
      <c r="F144" s="504">
        <f t="shared" si="8"/>
        <v>7.087377049180328</v>
      </c>
      <c r="G144" s="505"/>
    </row>
    <row r="145" spans="1:7" s="493" customFormat="1" ht="18.75" customHeight="1" hidden="1">
      <c r="A145" s="535"/>
      <c r="B145" s="488" t="s">
        <v>254</v>
      </c>
      <c r="C145" s="531" t="s">
        <v>255</v>
      </c>
      <c r="D145" s="490">
        <f>SUM(D146)</f>
        <v>0</v>
      </c>
      <c r="E145" s="490">
        <f>SUM(E146)</f>
        <v>0</v>
      </c>
      <c r="F145" s="491" t="e">
        <f t="shared" si="8"/>
        <v>#DIV/0!</v>
      </c>
      <c r="G145" s="485"/>
    </row>
    <row r="146" spans="1:7" s="499" customFormat="1" ht="18.75" customHeight="1" hidden="1">
      <c r="A146" s="494"/>
      <c r="B146" s="495"/>
      <c r="C146" s="496" t="s">
        <v>838</v>
      </c>
      <c r="D146" s="360">
        <f>SUM(D147,D150)</f>
        <v>0</v>
      </c>
      <c r="E146" s="360">
        <f>SUM(E147,E150)</f>
        <v>0</v>
      </c>
      <c r="F146" s="497" t="e">
        <f t="shared" si="8"/>
        <v>#DIV/0!</v>
      </c>
      <c r="G146" s="498"/>
    </row>
    <row r="147" spans="1:7" s="506" customFormat="1" ht="18" customHeight="1" hidden="1">
      <c r="A147" s="500"/>
      <c r="B147" s="501"/>
      <c r="C147" s="502" t="s">
        <v>976</v>
      </c>
      <c r="D147" s="503">
        <f>SUM(D148,D149)</f>
        <v>0</v>
      </c>
      <c r="E147" s="503">
        <f>SUM(E148,E149)</f>
        <v>0</v>
      </c>
      <c r="F147" s="504" t="e">
        <f t="shared" si="8"/>
        <v>#DIV/0!</v>
      </c>
      <c r="G147" s="505"/>
    </row>
    <row r="148" spans="1:7" s="512" customFormat="1" ht="18.75" customHeight="1" hidden="1">
      <c r="A148" s="507"/>
      <c r="B148" s="508"/>
      <c r="C148" s="509" t="s">
        <v>1096</v>
      </c>
      <c r="D148" s="510">
        <v>0</v>
      </c>
      <c r="E148" s="510">
        <v>0</v>
      </c>
      <c r="F148" s="511" t="e">
        <f t="shared" si="8"/>
        <v>#DIV/0!</v>
      </c>
      <c r="G148" s="505"/>
    </row>
    <row r="149" spans="1:7" s="512" customFormat="1" ht="18.75" customHeight="1" hidden="1">
      <c r="A149" s="507"/>
      <c r="B149" s="508"/>
      <c r="C149" s="509" t="s">
        <v>977</v>
      </c>
      <c r="D149" s="510">
        <v>0</v>
      </c>
      <c r="E149" s="510">
        <v>0</v>
      </c>
      <c r="F149" s="511" t="e">
        <f t="shared" si="8"/>
        <v>#DIV/0!</v>
      </c>
      <c r="G149" s="505"/>
    </row>
    <row r="150" spans="1:7" s="506" customFormat="1" ht="18.75" customHeight="1" hidden="1">
      <c r="A150" s="534"/>
      <c r="B150" s="501"/>
      <c r="C150" s="538" t="s">
        <v>982</v>
      </c>
      <c r="D150" s="503">
        <v>0</v>
      </c>
      <c r="E150" s="503">
        <v>0</v>
      </c>
      <c r="F150" s="504" t="e">
        <f t="shared" si="8"/>
        <v>#DIV/0!</v>
      </c>
      <c r="G150" s="505"/>
    </row>
    <row r="151" spans="1:8" s="540" customFormat="1" ht="18.75" customHeight="1">
      <c r="A151" s="535"/>
      <c r="B151" s="488" t="s">
        <v>627</v>
      </c>
      <c r="C151" s="531" t="s">
        <v>629</v>
      </c>
      <c r="D151" s="490">
        <f>SUM(D152)</f>
        <v>1106000</v>
      </c>
      <c r="E151" s="490">
        <f>SUM(E152)</f>
        <v>171001.18</v>
      </c>
      <c r="F151" s="491">
        <f t="shared" si="8"/>
        <v>15.461227848101263</v>
      </c>
      <c r="G151" s="505"/>
      <c r="H151" s="506"/>
    </row>
    <row r="152" spans="1:7" s="499" customFormat="1" ht="18.75" customHeight="1">
      <c r="A152" s="494"/>
      <c r="B152" s="495"/>
      <c r="C152" s="496" t="s">
        <v>838</v>
      </c>
      <c r="D152" s="360">
        <f>SUM(D153,D156)</f>
        <v>1106000</v>
      </c>
      <c r="E152" s="360">
        <f>SUM(E153,E156)</f>
        <v>171001.18</v>
      </c>
      <c r="F152" s="497">
        <f t="shared" si="8"/>
        <v>15.461227848101263</v>
      </c>
      <c r="G152" s="498"/>
    </row>
    <row r="153" spans="1:7" s="506" customFormat="1" ht="18" customHeight="1">
      <c r="A153" s="500"/>
      <c r="B153" s="501"/>
      <c r="C153" s="502" t="s">
        <v>976</v>
      </c>
      <c r="D153" s="503">
        <f>SUM(D154,D155)</f>
        <v>1106000</v>
      </c>
      <c r="E153" s="503">
        <f>SUM(E154,E155)</f>
        <v>171001.18</v>
      </c>
      <c r="F153" s="504">
        <f t="shared" si="8"/>
        <v>15.461227848101263</v>
      </c>
      <c r="G153" s="505"/>
    </row>
    <row r="154" spans="1:7" s="512" customFormat="1" ht="18.75" customHeight="1">
      <c r="A154" s="507"/>
      <c r="B154" s="508"/>
      <c r="C154" s="509" t="s">
        <v>1096</v>
      </c>
      <c r="D154" s="510">
        <v>13700</v>
      </c>
      <c r="E154" s="510">
        <v>5898.07</v>
      </c>
      <c r="F154" s="511">
        <f t="shared" si="8"/>
        <v>43.051605839416055</v>
      </c>
      <c r="G154" s="505"/>
    </row>
    <row r="155" spans="1:7" s="512" customFormat="1" ht="18.75" customHeight="1">
      <c r="A155" s="507"/>
      <c r="B155" s="508"/>
      <c r="C155" s="509" t="s">
        <v>977</v>
      </c>
      <c r="D155" s="510">
        <v>1092300</v>
      </c>
      <c r="E155" s="510">
        <v>165103.11</v>
      </c>
      <c r="F155" s="511">
        <f t="shared" si="8"/>
        <v>15.115179895633066</v>
      </c>
      <c r="G155" s="505"/>
    </row>
    <row r="156" spans="1:7" s="512" customFormat="1" ht="18.75" customHeight="1" hidden="1">
      <c r="A156" s="539"/>
      <c r="B156" s="508"/>
      <c r="C156" s="538" t="s">
        <v>982</v>
      </c>
      <c r="D156" s="503">
        <v>0</v>
      </c>
      <c r="E156" s="503">
        <v>0</v>
      </c>
      <c r="F156" s="504" t="e">
        <f t="shared" si="8"/>
        <v>#DIV/0!</v>
      </c>
      <c r="G156" s="505"/>
    </row>
    <row r="157" spans="1:8" s="540" customFormat="1" ht="18.75" customHeight="1">
      <c r="A157" s="535"/>
      <c r="B157" s="488" t="s">
        <v>3</v>
      </c>
      <c r="C157" s="531" t="s">
        <v>176</v>
      </c>
      <c r="D157" s="490">
        <f>SUM(D158,D167)</f>
        <v>9901010</v>
      </c>
      <c r="E157" s="490">
        <f>SUM(E158,E167)</f>
        <v>2103326.2</v>
      </c>
      <c r="F157" s="491">
        <f t="shared" si="8"/>
        <v>21.24355192046064</v>
      </c>
      <c r="G157" s="505"/>
      <c r="H157" s="506"/>
    </row>
    <row r="158" spans="1:7" s="499" customFormat="1" ht="18.75" customHeight="1">
      <c r="A158" s="494"/>
      <c r="B158" s="495"/>
      <c r="C158" s="496" t="s">
        <v>838</v>
      </c>
      <c r="D158" s="360">
        <f>SUM(D159,D162,D164,D165,D166)</f>
        <v>766610</v>
      </c>
      <c r="E158" s="360">
        <f>SUM(E159,E162,E164,E165,E166)</f>
        <v>121495.42</v>
      </c>
      <c r="F158" s="497">
        <f t="shared" si="8"/>
        <v>15.848400099137763</v>
      </c>
      <c r="G158" s="498"/>
    </row>
    <row r="159" spans="1:7" s="506" customFormat="1" ht="18" customHeight="1">
      <c r="A159" s="500"/>
      <c r="B159" s="501"/>
      <c r="C159" s="502" t="s">
        <v>976</v>
      </c>
      <c r="D159" s="503">
        <f>SUM(D160,D161)</f>
        <v>674260</v>
      </c>
      <c r="E159" s="503">
        <f>SUM(E160,E161)</f>
        <v>121495.42</v>
      </c>
      <c r="F159" s="504">
        <f t="shared" si="8"/>
        <v>18.01907572746418</v>
      </c>
      <c r="G159" s="505"/>
    </row>
    <row r="160" spans="1:7" s="512" customFormat="1" ht="18.75" customHeight="1">
      <c r="A160" s="507"/>
      <c r="B160" s="508"/>
      <c r="C160" s="509" t="s">
        <v>1096</v>
      </c>
      <c r="D160" s="510">
        <v>26860</v>
      </c>
      <c r="E160" s="510">
        <v>0</v>
      </c>
      <c r="F160" s="511">
        <f t="shared" si="8"/>
        <v>0</v>
      </c>
      <c r="G160" s="505"/>
    </row>
    <row r="161" spans="1:7" s="512" customFormat="1" ht="27" customHeight="1">
      <c r="A161" s="507"/>
      <c r="B161" s="508"/>
      <c r="C161" s="509" t="s">
        <v>1258</v>
      </c>
      <c r="D161" s="510">
        <v>647400</v>
      </c>
      <c r="E161" s="510">
        <v>121495.42</v>
      </c>
      <c r="F161" s="511">
        <f t="shared" si="8"/>
        <v>18.766669755946864</v>
      </c>
      <c r="G161" s="505"/>
    </row>
    <row r="162" spans="1:7" s="512" customFormat="1" ht="18.75" customHeight="1" hidden="1">
      <c r="A162" s="507"/>
      <c r="B162" s="508"/>
      <c r="C162" s="502" t="s">
        <v>988</v>
      </c>
      <c r="D162" s="503">
        <f>SUM(D163)</f>
        <v>0</v>
      </c>
      <c r="E162" s="503">
        <f>SUM(E163)</f>
        <v>0</v>
      </c>
      <c r="F162" s="504" t="e">
        <f t="shared" si="8"/>
        <v>#DIV/0!</v>
      </c>
      <c r="G162" s="505"/>
    </row>
    <row r="163" spans="1:7" s="512" customFormat="1" ht="18.75" customHeight="1" hidden="1">
      <c r="A163" s="507"/>
      <c r="B163" s="508"/>
      <c r="C163" s="509" t="s">
        <v>97</v>
      </c>
      <c r="D163" s="510"/>
      <c r="E163" s="510"/>
      <c r="F163" s="511" t="e">
        <f>E163/D163*100</f>
        <v>#DIV/0!</v>
      </c>
      <c r="G163" s="505"/>
    </row>
    <row r="164" spans="1:7" s="506" customFormat="1" ht="18.75" customHeight="1">
      <c r="A164" s="500"/>
      <c r="B164" s="501"/>
      <c r="C164" s="502" t="s">
        <v>978</v>
      </c>
      <c r="D164" s="503">
        <v>20000</v>
      </c>
      <c r="E164" s="503">
        <v>0</v>
      </c>
      <c r="F164" s="504">
        <f t="shared" si="8"/>
        <v>0</v>
      </c>
      <c r="G164" s="530"/>
    </row>
    <row r="165" spans="1:7" s="506" customFormat="1" ht="18.75" customHeight="1">
      <c r="A165" s="500"/>
      <c r="B165" s="501"/>
      <c r="C165" s="502" t="s">
        <v>989</v>
      </c>
      <c r="D165" s="503">
        <v>72350</v>
      </c>
      <c r="E165" s="503">
        <v>0</v>
      </c>
      <c r="F165" s="504">
        <f>E165/D165*100</f>
        <v>0</v>
      </c>
      <c r="G165" s="530"/>
    </row>
    <row r="166" spans="1:7" s="506" customFormat="1" ht="18.75" customHeight="1" hidden="1">
      <c r="A166" s="500"/>
      <c r="B166" s="501"/>
      <c r="C166" s="538" t="s">
        <v>982</v>
      </c>
      <c r="D166" s="503">
        <v>0</v>
      </c>
      <c r="E166" s="503">
        <v>0</v>
      </c>
      <c r="F166" s="504" t="e">
        <f>E166/D166*100</f>
        <v>#DIV/0!</v>
      </c>
      <c r="G166" s="530"/>
    </row>
    <row r="167" spans="1:7" s="499" customFormat="1" ht="18.75" customHeight="1">
      <c r="A167" s="494"/>
      <c r="B167" s="495"/>
      <c r="C167" s="496" t="s">
        <v>979</v>
      </c>
      <c r="D167" s="360">
        <f>SUM(D168,D169)</f>
        <v>9134400</v>
      </c>
      <c r="E167" s="360">
        <f>SUM(E168,E169)</f>
        <v>1981830.78</v>
      </c>
      <c r="F167" s="497">
        <f t="shared" si="8"/>
        <v>21.696343273778247</v>
      </c>
      <c r="G167" s="498"/>
    </row>
    <row r="168" spans="1:7" s="506" customFormat="1" ht="24.75" customHeight="1">
      <c r="A168" s="500"/>
      <c r="B168" s="501"/>
      <c r="C168" s="502" t="s">
        <v>251</v>
      </c>
      <c r="D168" s="503">
        <v>5562900</v>
      </c>
      <c r="E168" s="503">
        <v>1933364.35</v>
      </c>
      <c r="F168" s="504">
        <f t="shared" si="8"/>
        <v>34.75461270200795</v>
      </c>
      <c r="G168" s="505"/>
    </row>
    <row r="169" spans="1:7" s="506" customFormat="1" ht="18" customHeight="1">
      <c r="A169" s="534"/>
      <c r="B169" s="501"/>
      <c r="C169" s="502" t="s">
        <v>989</v>
      </c>
      <c r="D169" s="503">
        <v>3571500</v>
      </c>
      <c r="E169" s="503">
        <v>48466.43</v>
      </c>
      <c r="F169" s="504">
        <f t="shared" si="8"/>
        <v>1.3570328993420133</v>
      </c>
      <c r="G169" s="505"/>
    </row>
    <row r="170" spans="1:8" s="540" customFormat="1" ht="51.75" customHeight="1">
      <c r="A170" s="541" t="s">
        <v>819</v>
      </c>
      <c r="B170" s="481"/>
      <c r="C170" s="482" t="s">
        <v>4</v>
      </c>
      <c r="D170" s="542">
        <f>SUM(D171,D176,D182,D188,D194)</f>
        <v>8280</v>
      </c>
      <c r="E170" s="542">
        <f>SUM(E171,E176,E182,E188,E194)</f>
        <v>0</v>
      </c>
      <c r="F170" s="484">
        <f t="shared" si="8"/>
        <v>0</v>
      </c>
      <c r="G170" s="505"/>
      <c r="H170" s="506"/>
    </row>
    <row r="171" spans="1:8" s="540" customFormat="1" ht="26.25" customHeight="1">
      <c r="A171" s="535"/>
      <c r="B171" s="543" t="s">
        <v>777</v>
      </c>
      <c r="C171" s="489" t="s">
        <v>1107</v>
      </c>
      <c r="D171" s="544">
        <f>D172</f>
        <v>8280</v>
      </c>
      <c r="E171" s="490">
        <f>E172</f>
        <v>0</v>
      </c>
      <c r="F171" s="491">
        <f t="shared" si="8"/>
        <v>0</v>
      </c>
      <c r="G171" s="505"/>
      <c r="H171" s="506"/>
    </row>
    <row r="172" spans="1:7" s="499" customFormat="1" ht="18.75" customHeight="1">
      <c r="A172" s="494"/>
      <c r="B172" s="495"/>
      <c r="C172" s="496" t="s">
        <v>838</v>
      </c>
      <c r="D172" s="360">
        <f>SUM(D173)</f>
        <v>8280</v>
      </c>
      <c r="E172" s="360">
        <f>SUM(E173)</f>
        <v>0</v>
      </c>
      <c r="F172" s="497">
        <f t="shared" si="8"/>
        <v>0</v>
      </c>
      <c r="G172" s="498"/>
    </row>
    <row r="173" spans="1:7" s="506" customFormat="1" ht="18" customHeight="1">
      <c r="A173" s="500"/>
      <c r="B173" s="501"/>
      <c r="C173" s="502" t="s">
        <v>976</v>
      </c>
      <c r="D173" s="503">
        <f>SUM(D174,D175)</f>
        <v>8280</v>
      </c>
      <c r="E173" s="503">
        <f>SUM(E174,E175)</f>
        <v>0</v>
      </c>
      <c r="F173" s="504">
        <f t="shared" si="8"/>
        <v>0</v>
      </c>
      <c r="G173" s="505"/>
    </row>
    <row r="174" spans="1:7" s="512" customFormat="1" ht="18.75" customHeight="1">
      <c r="A174" s="507"/>
      <c r="B174" s="508"/>
      <c r="C174" s="509" t="s">
        <v>1096</v>
      </c>
      <c r="D174" s="510">
        <v>8280</v>
      </c>
      <c r="E174" s="510">
        <v>0</v>
      </c>
      <c r="F174" s="511">
        <f t="shared" si="8"/>
        <v>0</v>
      </c>
      <c r="G174" s="505"/>
    </row>
    <row r="175" spans="1:7" s="512" customFormat="1" ht="18.75" customHeight="1" hidden="1">
      <c r="A175" s="507"/>
      <c r="B175" s="508"/>
      <c r="C175" s="509" t="s">
        <v>977</v>
      </c>
      <c r="D175" s="510">
        <v>0</v>
      </c>
      <c r="E175" s="510">
        <v>0</v>
      </c>
      <c r="F175" s="511" t="e">
        <f>E175/D175*100</f>
        <v>#DIV/0!</v>
      </c>
      <c r="G175" s="505"/>
    </row>
    <row r="176" spans="1:8" s="540" customFormat="1" ht="16.5" customHeight="1" hidden="1">
      <c r="A176" s="535"/>
      <c r="B176" s="543" t="s">
        <v>405</v>
      </c>
      <c r="C176" s="489" t="s">
        <v>983</v>
      </c>
      <c r="D176" s="544">
        <f>D177</f>
        <v>0</v>
      </c>
      <c r="E176" s="490">
        <f>E177</f>
        <v>0</v>
      </c>
      <c r="F176" s="491" t="e">
        <f t="shared" si="8"/>
        <v>#DIV/0!</v>
      </c>
      <c r="G176" s="505"/>
      <c r="H176" s="506"/>
    </row>
    <row r="177" spans="1:7" s="499" customFormat="1" ht="18.75" customHeight="1" hidden="1">
      <c r="A177" s="494"/>
      <c r="B177" s="495"/>
      <c r="C177" s="496" t="s">
        <v>838</v>
      </c>
      <c r="D177" s="360">
        <f>SUM(D178,D181)</f>
        <v>0</v>
      </c>
      <c r="E177" s="360">
        <f>SUM(E178,E181)</f>
        <v>0</v>
      </c>
      <c r="F177" s="497" t="e">
        <f t="shared" si="8"/>
        <v>#DIV/0!</v>
      </c>
      <c r="G177" s="498"/>
    </row>
    <row r="178" spans="1:7" s="506" customFormat="1" ht="18" customHeight="1" hidden="1">
      <c r="A178" s="500"/>
      <c r="B178" s="501"/>
      <c r="C178" s="502" t="s">
        <v>976</v>
      </c>
      <c r="D178" s="503">
        <f>SUM(D179,D180)</f>
        <v>0</v>
      </c>
      <c r="E178" s="503">
        <f>SUM(E179,E180)</f>
        <v>0</v>
      </c>
      <c r="F178" s="504" t="e">
        <f t="shared" si="8"/>
        <v>#DIV/0!</v>
      </c>
      <c r="G178" s="505"/>
    </row>
    <row r="179" spans="1:7" s="512" customFormat="1" ht="18.75" customHeight="1" hidden="1">
      <c r="A179" s="507"/>
      <c r="B179" s="508"/>
      <c r="C179" s="509" t="s">
        <v>1096</v>
      </c>
      <c r="D179" s="510">
        <v>0</v>
      </c>
      <c r="E179" s="510">
        <v>0</v>
      </c>
      <c r="F179" s="511" t="e">
        <f t="shared" si="8"/>
        <v>#DIV/0!</v>
      </c>
      <c r="G179" s="505"/>
    </row>
    <row r="180" spans="1:7" s="512" customFormat="1" ht="18.75" customHeight="1" hidden="1">
      <c r="A180" s="507"/>
      <c r="B180" s="508"/>
      <c r="C180" s="509" t="s">
        <v>977</v>
      </c>
      <c r="D180" s="510">
        <v>0</v>
      </c>
      <c r="E180" s="510">
        <v>0</v>
      </c>
      <c r="F180" s="511" t="e">
        <f t="shared" si="8"/>
        <v>#DIV/0!</v>
      </c>
      <c r="G180" s="505"/>
    </row>
    <row r="181" spans="1:7" s="506" customFormat="1" ht="18.75" customHeight="1" hidden="1">
      <c r="A181" s="534"/>
      <c r="B181" s="501"/>
      <c r="C181" s="538" t="s">
        <v>982</v>
      </c>
      <c r="D181" s="503">
        <v>0</v>
      </c>
      <c r="E181" s="503">
        <v>0</v>
      </c>
      <c r="F181" s="504" t="e">
        <f t="shared" si="8"/>
        <v>#DIV/0!</v>
      </c>
      <c r="G181" s="505"/>
    </row>
    <row r="182" spans="1:8" s="540" customFormat="1" ht="21" customHeight="1" hidden="1">
      <c r="A182" s="535"/>
      <c r="B182" s="543" t="s">
        <v>1032</v>
      </c>
      <c r="C182" s="489" t="s">
        <v>1033</v>
      </c>
      <c r="D182" s="544">
        <f>D183</f>
        <v>0</v>
      </c>
      <c r="E182" s="490">
        <f>E183</f>
        <v>0</v>
      </c>
      <c r="F182" s="491" t="e">
        <f aca="true" t="shared" si="9" ref="F182:F206">E182/D182*100</f>
        <v>#DIV/0!</v>
      </c>
      <c r="G182" s="505"/>
      <c r="H182" s="506"/>
    </row>
    <row r="183" spans="1:7" s="499" customFormat="1" ht="18.75" customHeight="1" hidden="1">
      <c r="A183" s="494"/>
      <c r="B183" s="495"/>
      <c r="C183" s="496" t="s">
        <v>838</v>
      </c>
      <c r="D183" s="360">
        <f>SUM(D184,D187)</f>
        <v>0</v>
      </c>
      <c r="E183" s="360">
        <f>SUM(E184,E187)</f>
        <v>0</v>
      </c>
      <c r="F183" s="497" t="e">
        <f t="shared" si="9"/>
        <v>#DIV/0!</v>
      </c>
      <c r="G183" s="498"/>
    </row>
    <row r="184" spans="1:7" s="506" customFormat="1" ht="18" customHeight="1" hidden="1">
      <c r="A184" s="500"/>
      <c r="B184" s="501"/>
      <c r="C184" s="502" t="s">
        <v>976</v>
      </c>
      <c r="D184" s="503">
        <f>SUM(D185,D186)</f>
        <v>0</v>
      </c>
      <c r="E184" s="503">
        <f>SUM(E185,E186)</f>
        <v>0</v>
      </c>
      <c r="F184" s="504" t="e">
        <f t="shared" si="9"/>
        <v>#DIV/0!</v>
      </c>
      <c r="G184" s="505"/>
    </row>
    <row r="185" spans="1:7" s="512" customFormat="1" ht="18.75" customHeight="1" hidden="1">
      <c r="A185" s="507"/>
      <c r="B185" s="508"/>
      <c r="C185" s="509" t="s">
        <v>1096</v>
      </c>
      <c r="D185" s="510">
        <v>0</v>
      </c>
      <c r="E185" s="510">
        <v>0</v>
      </c>
      <c r="F185" s="511" t="e">
        <f t="shared" si="9"/>
        <v>#DIV/0!</v>
      </c>
      <c r="G185" s="505"/>
    </row>
    <row r="186" spans="1:7" s="512" customFormat="1" ht="18.75" customHeight="1" hidden="1">
      <c r="A186" s="507"/>
      <c r="B186" s="508"/>
      <c r="C186" s="509" t="s">
        <v>977</v>
      </c>
      <c r="D186" s="510">
        <v>0</v>
      </c>
      <c r="E186" s="510">
        <v>0</v>
      </c>
      <c r="F186" s="511" t="e">
        <f t="shared" si="9"/>
        <v>#DIV/0!</v>
      </c>
      <c r="G186" s="505"/>
    </row>
    <row r="187" spans="1:7" s="506" customFormat="1" ht="18.75" customHeight="1" hidden="1">
      <c r="A187" s="534"/>
      <c r="B187" s="501"/>
      <c r="C187" s="538" t="s">
        <v>982</v>
      </c>
      <c r="D187" s="503">
        <v>0</v>
      </c>
      <c r="E187" s="503">
        <v>0</v>
      </c>
      <c r="F187" s="504" t="e">
        <f t="shared" si="9"/>
        <v>#DIV/0!</v>
      </c>
      <c r="G187" s="505"/>
    </row>
    <row r="188" spans="1:8" s="540" customFormat="1" ht="59.25" customHeight="1" hidden="1">
      <c r="A188" s="535"/>
      <c r="B188" s="488" t="s">
        <v>256</v>
      </c>
      <c r="C188" s="489" t="s">
        <v>257</v>
      </c>
      <c r="D188" s="490">
        <f>SUM(D189)</f>
        <v>0</v>
      </c>
      <c r="E188" s="490">
        <f>SUM(E189)</f>
        <v>0</v>
      </c>
      <c r="F188" s="491" t="e">
        <f t="shared" si="9"/>
        <v>#DIV/0!</v>
      </c>
      <c r="G188" s="505"/>
      <c r="H188" s="506"/>
    </row>
    <row r="189" spans="1:7" s="499" customFormat="1" ht="18.75" customHeight="1" hidden="1">
      <c r="A189" s="494"/>
      <c r="B189" s="495"/>
      <c r="C189" s="496" t="s">
        <v>838</v>
      </c>
      <c r="D189" s="360">
        <f>SUM(D190,D193)</f>
        <v>0</v>
      </c>
      <c r="E189" s="360">
        <f>SUM(E190,E193)</f>
        <v>0</v>
      </c>
      <c r="F189" s="497" t="e">
        <f t="shared" si="9"/>
        <v>#DIV/0!</v>
      </c>
      <c r="G189" s="498"/>
    </row>
    <row r="190" spans="1:7" s="506" customFormat="1" ht="18" customHeight="1" hidden="1">
      <c r="A190" s="500"/>
      <c r="B190" s="501"/>
      <c r="C190" s="502" t="s">
        <v>976</v>
      </c>
      <c r="D190" s="503">
        <f>SUM(D191,D192)</f>
        <v>0</v>
      </c>
      <c r="E190" s="503">
        <f>SUM(E191,E192)</f>
        <v>0</v>
      </c>
      <c r="F190" s="504" t="e">
        <f t="shared" si="9"/>
        <v>#DIV/0!</v>
      </c>
      <c r="G190" s="505"/>
    </row>
    <row r="191" spans="1:7" s="512" customFormat="1" ht="18.75" customHeight="1" hidden="1">
      <c r="A191" s="507"/>
      <c r="B191" s="508"/>
      <c r="C191" s="509" t="s">
        <v>1096</v>
      </c>
      <c r="D191" s="510">
        <v>0</v>
      </c>
      <c r="E191" s="510">
        <v>0</v>
      </c>
      <c r="F191" s="511" t="e">
        <f t="shared" si="9"/>
        <v>#DIV/0!</v>
      </c>
      <c r="G191" s="505"/>
    </row>
    <row r="192" spans="1:7" s="512" customFormat="1" ht="18.75" customHeight="1" hidden="1">
      <c r="A192" s="507"/>
      <c r="B192" s="508"/>
      <c r="C192" s="509" t="s">
        <v>977</v>
      </c>
      <c r="D192" s="510">
        <v>0</v>
      </c>
      <c r="E192" s="510">
        <v>0</v>
      </c>
      <c r="F192" s="511" t="e">
        <f t="shared" si="9"/>
        <v>#DIV/0!</v>
      </c>
      <c r="G192" s="505"/>
    </row>
    <row r="193" spans="1:7" s="506" customFormat="1" ht="18.75" customHeight="1" hidden="1">
      <c r="A193" s="534"/>
      <c r="B193" s="501"/>
      <c r="C193" s="538" t="s">
        <v>982</v>
      </c>
      <c r="D193" s="503">
        <v>0</v>
      </c>
      <c r="E193" s="503">
        <v>0</v>
      </c>
      <c r="F193" s="504" t="e">
        <f t="shared" si="9"/>
        <v>#DIV/0!</v>
      </c>
      <c r="G193" s="505"/>
    </row>
    <row r="194" spans="1:8" s="540" customFormat="1" ht="22.5" customHeight="1" hidden="1">
      <c r="A194" s="535"/>
      <c r="B194" s="488" t="s">
        <v>1176</v>
      </c>
      <c r="C194" s="489" t="s">
        <v>1177</v>
      </c>
      <c r="D194" s="490">
        <f>SUM(D195)</f>
        <v>0</v>
      </c>
      <c r="E194" s="490">
        <f>SUM(E195)</f>
        <v>0</v>
      </c>
      <c r="F194" s="491" t="e">
        <f aca="true" t="shared" si="10" ref="F194:F199">E194/D194*100</f>
        <v>#DIV/0!</v>
      </c>
      <c r="G194" s="505"/>
      <c r="H194" s="506"/>
    </row>
    <row r="195" spans="1:7" s="499" customFormat="1" ht="18.75" customHeight="1" hidden="1">
      <c r="A195" s="494"/>
      <c r="B195" s="495"/>
      <c r="C195" s="496" t="s">
        <v>838</v>
      </c>
      <c r="D195" s="360">
        <f>SUM(D196,D199)</f>
        <v>0</v>
      </c>
      <c r="E195" s="360">
        <f>SUM(E196,E199)</f>
        <v>0</v>
      </c>
      <c r="F195" s="497" t="e">
        <f t="shared" si="10"/>
        <v>#DIV/0!</v>
      </c>
      <c r="G195" s="498"/>
    </row>
    <row r="196" spans="1:7" s="506" customFormat="1" ht="18" customHeight="1" hidden="1">
      <c r="A196" s="500"/>
      <c r="B196" s="501"/>
      <c r="C196" s="502" t="s">
        <v>976</v>
      </c>
      <c r="D196" s="503">
        <f>SUM(D197,D198)</f>
        <v>0</v>
      </c>
      <c r="E196" s="503">
        <f>SUM(E197,E198)</f>
        <v>0</v>
      </c>
      <c r="F196" s="504" t="e">
        <f t="shared" si="10"/>
        <v>#DIV/0!</v>
      </c>
      <c r="G196" s="505"/>
    </row>
    <row r="197" spans="1:7" s="512" customFormat="1" ht="18.75" customHeight="1" hidden="1">
      <c r="A197" s="507"/>
      <c r="B197" s="508"/>
      <c r="C197" s="509" t="s">
        <v>1096</v>
      </c>
      <c r="D197" s="510">
        <v>0</v>
      </c>
      <c r="E197" s="510">
        <v>0</v>
      </c>
      <c r="F197" s="511" t="e">
        <f t="shared" si="10"/>
        <v>#DIV/0!</v>
      </c>
      <c r="G197" s="505"/>
    </row>
    <row r="198" spans="1:7" s="512" customFormat="1" ht="18.75" customHeight="1" hidden="1">
      <c r="A198" s="507"/>
      <c r="B198" s="508"/>
      <c r="C198" s="509" t="s">
        <v>977</v>
      </c>
      <c r="D198" s="510">
        <v>0</v>
      </c>
      <c r="E198" s="510">
        <v>0</v>
      </c>
      <c r="F198" s="511" t="e">
        <f t="shared" si="10"/>
        <v>#DIV/0!</v>
      </c>
      <c r="G198" s="505"/>
    </row>
    <row r="199" spans="1:7" s="506" customFormat="1" ht="18.75" customHeight="1" hidden="1">
      <c r="A199" s="534"/>
      <c r="B199" s="501"/>
      <c r="C199" s="538" t="s">
        <v>982</v>
      </c>
      <c r="D199" s="503">
        <v>0</v>
      </c>
      <c r="E199" s="503">
        <v>0</v>
      </c>
      <c r="F199" s="504" t="e">
        <f t="shared" si="10"/>
        <v>#DIV/0!</v>
      </c>
      <c r="G199" s="505"/>
    </row>
    <row r="200" spans="1:8" s="540" customFormat="1" ht="18.75" customHeight="1" hidden="1">
      <c r="A200" s="541" t="s">
        <v>362</v>
      </c>
      <c r="B200" s="481"/>
      <c r="C200" s="482" t="s">
        <v>365</v>
      </c>
      <c r="D200" s="483">
        <f>SUM(D201)</f>
        <v>0</v>
      </c>
      <c r="E200" s="483">
        <f>SUM(E201)</f>
        <v>0</v>
      </c>
      <c r="F200" s="484" t="e">
        <f t="shared" si="9"/>
        <v>#DIV/0!</v>
      </c>
      <c r="G200" s="505"/>
      <c r="H200" s="506"/>
    </row>
    <row r="201" spans="1:8" s="540" customFormat="1" ht="18.75" customHeight="1" hidden="1">
      <c r="A201" s="535"/>
      <c r="B201" s="488" t="s">
        <v>363</v>
      </c>
      <c r="C201" s="531" t="s">
        <v>364</v>
      </c>
      <c r="D201" s="490">
        <f>SUM(D202)</f>
        <v>0</v>
      </c>
      <c r="E201" s="490">
        <f>SUM(E202)</f>
        <v>0</v>
      </c>
      <c r="F201" s="491" t="e">
        <f t="shared" si="9"/>
        <v>#DIV/0!</v>
      </c>
      <c r="G201" s="505"/>
      <c r="H201" s="506"/>
    </row>
    <row r="202" spans="1:7" s="499" customFormat="1" ht="18.75" customHeight="1" hidden="1">
      <c r="A202" s="494"/>
      <c r="B202" s="495"/>
      <c r="C202" s="496" t="s">
        <v>838</v>
      </c>
      <c r="D202" s="360">
        <f>SUM(D203,D206)</f>
        <v>0</v>
      </c>
      <c r="E202" s="360">
        <f>SUM(E203,E206)</f>
        <v>0</v>
      </c>
      <c r="F202" s="497" t="e">
        <f t="shared" si="9"/>
        <v>#DIV/0!</v>
      </c>
      <c r="G202" s="498"/>
    </row>
    <row r="203" spans="1:7" s="506" customFormat="1" ht="18" customHeight="1" hidden="1">
      <c r="A203" s="500"/>
      <c r="B203" s="501"/>
      <c r="C203" s="502" t="s">
        <v>976</v>
      </c>
      <c r="D203" s="503">
        <f>SUM(D204,D205)</f>
        <v>0</v>
      </c>
      <c r="E203" s="503">
        <f>SUM(E204,E205)</f>
        <v>0</v>
      </c>
      <c r="F203" s="504" t="e">
        <f t="shared" si="9"/>
        <v>#DIV/0!</v>
      </c>
      <c r="G203" s="505"/>
    </row>
    <row r="204" spans="1:7" s="512" customFormat="1" ht="18.75" customHeight="1" hidden="1">
      <c r="A204" s="507"/>
      <c r="B204" s="508"/>
      <c r="C204" s="509" t="s">
        <v>1096</v>
      </c>
      <c r="D204" s="510">
        <v>0</v>
      </c>
      <c r="E204" s="510">
        <v>0</v>
      </c>
      <c r="F204" s="511" t="e">
        <f t="shared" si="9"/>
        <v>#DIV/0!</v>
      </c>
      <c r="G204" s="505"/>
    </row>
    <row r="205" spans="1:7" s="512" customFormat="1" ht="18.75" customHeight="1" hidden="1">
      <c r="A205" s="507"/>
      <c r="B205" s="508"/>
      <c r="C205" s="509" t="s">
        <v>977</v>
      </c>
      <c r="D205" s="510">
        <v>0</v>
      </c>
      <c r="E205" s="510">
        <v>0</v>
      </c>
      <c r="F205" s="511" t="e">
        <f t="shared" si="9"/>
        <v>#DIV/0!</v>
      </c>
      <c r="G205" s="505"/>
    </row>
    <row r="206" spans="1:7" s="506" customFormat="1" ht="18.75" customHeight="1" hidden="1">
      <c r="A206" s="534"/>
      <c r="B206" s="501"/>
      <c r="C206" s="538" t="s">
        <v>982</v>
      </c>
      <c r="D206" s="503">
        <v>0</v>
      </c>
      <c r="E206" s="503">
        <v>0</v>
      </c>
      <c r="F206" s="504" t="e">
        <f t="shared" si="9"/>
        <v>#DIV/0!</v>
      </c>
      <c r="G206" s="505"/>
    </row>
    <row r="207" spans="1:8" s="540" customFormat="1" ht="27.75" customHeight="1">
      <c r="A207" s="541" t="s">
        <v>5</v>
      </c>
      <c r="B207" s="481"/>
      <c r="C207" s="482" t="s">
        <v>941</v>
      </c>
      <c r="D207" s="483">
        <f>SUM(D208,D218,D222,D228,D236,D242)</f>
        <v>1392830</v>
      </c>
      <c r="E207" s="483">
        <f>SUM(E208,E218,E222,E228,E236,E242)</f>
        <v>368126.88999999996</v>
      </c>
      <c r="F207" s="484">
        <f t="shared" si="8"/>
        <v>26.430137920636398</v>
      </c>
      <c r="G207" s="505"/>
      <c r="H207" s="506"/>
    </row>
    <row r="208" spans="1:8" s="540" customFormat="1" ht="18.75" customHeight="1">
      <c r="A208" s="535"/>
      <c r="B208" s="488" t="s">
        <v>1110</v>
      </c>
      <c r="C208" s="531" t="s">
        <v>1111</v>
      </c>
      <c r="D208" s="490">
        <f>SUM(D209,D215)</f>
        <v>196380</v>
      </c>
      <c r="E208" s="490">
        <f>SUM(E209,E215)</f>
        <v>68104</v>
      </c>
      <c r="F208" s="491">
        <f t="shared" si="8"/>
        <v>34.67970261737448</v>
      </c>
      <c r="G208" s="505"/>
      <c r="H208" s="506"/>
    </row>
    <row r="209" spans="1:7" s="499" customFormat="1" ht="18.75" customHeight="1">
      <c r="A209" s="494"/>
      <c r="B209" s="495"/>
      <c r="C209" s="496" t="s">
        <v>838</v>
      </c>
      <c r="D209" s="360">
        <f>SUM(D210,D213,D214)</f>
        <v>196380</v>
      </c>
      <c r="E209" s="360">
        <f>SUM(E210,E213,E214)</f>
        <v>68104</v>
      </c>
      <c r="F209" s="497">
        <f t="shared" si="8"/>
        <v>34.67970261737448</v>
      </c>
      <c r="G209" s="498"/>
    </row>
    <row r="210" spans="1:7" s="506" customFormat="1" ht="18" customHeight="1">
      <c r="A210" s="500"/>
      <c r="B210" s="501"/>
      <c r="C210" s="502" t="s">
        <v>976</v>
      </c>
      <c r="D210" s="503">
        <f>SUM(D211,D212)</f>
        <v>178085</v>
      </c>
      <c r="E210" s="503">
        <f>SUM(E211,E212)</f>
        <v>68104</v>
      </c>
      <c r="F210" s="504">
        <f t="shared" si="8"/>
        <v>38.24241233119016</v>
      </c>
      <c r="G210" s="505"/>
    </row>
    <row r="211" spans="1:7" s="512" customFormat="1" ht="18.75" customHeight="1">
      <c r="A211" s="507"/>
      <c r="B211" s="508"/>
      <c r="C211" s="509" t="s">
        <v>1096</v>
      </c>
      <c r="D211" s="510">
        <v>84500</v>
      </c>
      <c r="E211" s="510">
        <v>43083.46</v>
      </c>
      <c r="F211" s="511">
        <f t="shared" si="8"/>
        <v>50.98634319526627</v>
      </c>
      <c r="G211" s="505"/>
    </row>
    <row r="212" spans="1:7" s="512" customFormat="1" ht="18.75" customHeight="1">
      <c r="A212" s="507"/>
      <c r="B212" s="508"/>
      <c r="C212" s="509" t="s">
        <v>977</v>
      </c>
      <c r="D212" s="510">
        <v>93585</v>
      </c>
      <c r="E212" s="510">
        <v>25020.54</v>
      </c>
      <c r="F212" s="511">
        <f t="shared" si="8"/>
        <v>26.73563071004969</v>
      </c>
      <c r="G212" s="505"/>
    </row>
    <row r="213" spans="1:7" s="506" customFormat="1" ht="18.75" customHeight="1">
      <c r="A213" s="534"/>
      <c r="B213" s="501"/>
      <c r="C213" s="538" t="s">
        <v>982</v>
      </c>
      <c r="D213" s="503">
        <v>18295</v>
      </c>
      <c r="E213" s="503">
        <v>0</v>
      </c>
      <c r="F213" s="504">
        <f aca="true" t="shared" si="11" ref="F213:F274">E213/D213*100</f>
        <v>0</v>
      </c>
      <c r="G213" s="505"/>
    </row>
    <row r="214" spans="1:7" s="506" customFormat="1" ht="18.75" customHeight="1" hidden="1">
      <c r="A214" s="500"/>
      <c r="B214" s="501"/>
      <c r="C214" s="502" t="s">
        <v>989</v>
      </c>
      <c r="D214" s="503">
        <v>0</v>
      </c>
      <c r="E214" s="503">
        <v>0</v>
      </c>
      <c r="F214" s="504" t="e">
        <f>E214/D214*100</f>
        <v>#DIV/0!</v>
      </c>
      <c r="G214" s="530"/>
    </row>
    <row r="215" spans="1:7" s="499" customFormat="1" ht="18.75" customHeight="1" hidden="1">
      <c r="A215" s="494"/>
      <c r="B215" s="495"/>
      <c r="C215" s="496" t="s">
        <v>979</v>
      </c>
      <c r="D215" s="360">
        <f>SUM(D216,D217)</f>
        <v>0</v>
      </c>
      <c r="E215" s="360">
        <f>SUM(E216,E217)</f>
        <v>0</v>
      </c>
      <c r="F215" s="497" t="e">
        <f t="shared" si="11"/>
        <v>#DIV/0!</v>
      </c>
      <c r="G215" s="498"/>
    </row>
    <row r="216" spans="1:7" s="499" customFormat="1" ht="25.5" customHeight="1" hidden="1">
      <c r="A216" s="494"/>
      <c r="B216" s="495"/>
      <c r="C216" s="502" t="s">
        <v>251</v>
      </c>
      <c r="D216" s="503">
        <v>0</v>
      </c>
      <c r="E216" s="503">
        <v>0</v>
      </c>
      <c r="F216" s="504" t="e">
        <f>E216/D216*100</f>
        <v>#DIV/0!</v>
      </c>
      <c r="G216" s="498"/>
    </row>
    <row r="217" spans="1:7" s="506" customFormat="1" ht="18" customHeight="1" hidden="1">
      <c r="A217" s="500"/>
      <c r="B217" s="501"/>
      <c r="C217" s="502" t="s">
        <v>989</v>
      </c>
      <c r="D217" s="503">
        <v>0</v>
      </c>
      <c r="E217" s="503">
        <v>0</v>
      </c>
      <c r="F217" s="504" t="e">
        <f t="shared" si="11"/>
        <v>#DIV/0!</v>
      </c>
      <c r="G217" s="505"/>
    </row>
    <row r="218" spans="1:8" s="540" customFormat="1" ht="18.75" customHeight="1" hidden="1">
      <c r="A218" s="535"/>
      <c r="B218" s="488" t="s">
        <v>7</v>
      </c>
      <c r="C218" s="537" t="s">
        <v>8</v>
      </c>
      <c r="D218" s="490">
        <f>SUM(D221)</f>
        <v>0</v>
      </c>
      <c r="E218" s="490">
        <f>SUM(E221)</f>
        <v>0</v>
      </c>
      <c r="F218" s="491" t="e">
        <f t="shared" si="11"/>
        <v>#DIV/0!</v>
      </c>
      <c r="G218" s="505"/>
      <c r="H218" s="506"/>
    </row>
    <row r="219" spans="1:7" s="499" customFormat="1" ht="18.75" customHeight="1" hidden="1">
      <c r="A219" s="494"/>
      <c r="B219" s="495"/>
      <c r="C219" s="496" t="s">
        <v>838</v>
      </c>
      <c r="D219" s="360">
        <f>SUM(D220)</f>
        <v>0</v>
      </c>
      <c r="E219" s="360">
        <f>SUM(E220)</f>
        <v>0</v>
      </c>
      <c r="F219" s="497" t="e">
        <f t="shared" si="11"/>
        <v>#DIV/0!</v>
      </c>
      <c r="G219" s="498"/>
    </row>
    <row r="220" spans="1:7" s="506" customFormat="1" ht="18" customHeight="1" hidden="1">
      <c r="A220" s="500"/>
      <c r="B220" s="501"/>
      <c r="C220" s="502" t="s">
        <v>976</v>
      </c>
      <c r="D220" s="503">
        <f>SUM(D221)</f>
        <v>0</v>
      </c>
      <c r="E220" s="503">
        <f>SUM(E221)</f>
        <v>0</v>
      </c>
      <c r="F220" s="504" t="e">
        <f t="shared" si="11"/>
        <v>#DIV/0!</v>
      </c>
      <c r="G220" s="505"/>
    </row>
    <row r="221" spans="1:7" s="512" customFormat="1" ht="18.75" customHeight="1" hidden="1">
      <c r="A221" s="507"/>
      <c r="B221" s="508"/>
      <c r="C221" s="509" t="s">
        <v>977</v>
      </c>
      <c r="D221" s="510">
        <v>0</v>
      </c>
      <c r="E221" s="510">
        <v>0</v>
      </c>
      <c r="F221" s="511" t="e">
        <f t="shared" si="11"/>
        <v>#DIV/0!</v>
      </c>
      <c r="G221" s="505"/>
    </row>
    <row r="222" spans="1:7" s="506" customFormat="1" ht="18.75" customHeight="1" hidden="1">
      <c r="A222" s="535"/>
      <c r="B222" s="488" t="s">
        <v>366</v>
      </c>
      <c r="C222" s="537" t="s">
        <v>615</v>
      </c>
      <c r="D222" s="490">
        <f>SUM(D223)</f>
        <v>0</v>
      </c>
      <c r="E222" s="490">
        <f>SUM(E223)</f>
        <v>0</v>
      </c>
      <c r="F222" s="491" t="e">
        <f aca="true" t="shared" si="12" ref="F222:F227">E222/D222*100</f>
        <v>#DIV/0!</v>
      </c>
      <c r="G222" s="505"/>
    </row>
    <row r="223" spans="1:7" s="499" customFormat="1" ht="18.75" customHeight="1" hidden="1">
      <c r="A223" s="494"/>
      <c r="B223" s="495"/>
      <c r="C223" s="496" t="s">
        <v>838</v>
      </c>
      <c r="D223" s="360">
        <f>SUM(D224,D227)</f>
        <v>0</v>
      </c>
      <c r="E223" s="360">
        <f>SUM(E224,E227)</f>
        <v>0</v>
      </c>
      <c r="F223" s="497" t="e">
        <f t="shared" si="12"/>
        <v>#DIV/0!</v>
      </c>
      <c r="G223" s="498"/>
    </row>
    <row r="224" spans="1:7" s="506" customFormat="1" ht="18" customHeight="1" hidden="1">
      <c r="A224" s="500"/>
      <c r="B224" s="501"/>
      <c r="C224" s="502" t="s">
        <v>976</v>
      </c>
      <c r="D224" s="503">
        <f>SUM(D225,D226)</f>
        <v>0</v>
      </c>
      <c r="E224" s="503">
        <f>SUM(E225,E226)</f>
        <v>0</v>
      </c>
      <c r="F224" s="504" t="e">
        <f t="shared" si="12"/>
        <v>#DIV/0!</v>
      </c>
      <c r="G224" s="505"/>
    </row>
    <row r="225" spans="1:7" s="512" customFormat="1" ht="18.75" customHeight="1" hidden="1">
      <c r="A225" s="507"/>
      <c r="B225" s="508"/>
      <c r="C225" s="509" t="s">
        <v>1096</v>
      </c>
      <c r="D225" s="510">
        <v>0</v>
      </c>
      <c r="E225" s="510">
        <v>0</v>
      </c>
      <c r="F225" s="511" t="e">
        <f t="shared" si="12"/>
        <v>#DIV/0!</v>
      </c>
      <c r="G225" s="505"/>
    </row>
    <row r="226" spans="1:7" s="512" customFormat="1" ht="18.75" customHeight="1" hidden="1">
      <c r="A226" s="507"/>
      <c r="B226" s="508"/>
      <c r="C226" s="509" t="s">
        <v>977</v>
      </c>
      <c r="D226" s="510">
        <v>0</v>
      </c>
      <c r="E226" s="510">
        <v>0</v>
      </c>
      <c r="F226" s="511" t="e">
        <f t="shared" si="12"/>
        <v>#DIV/0!</v>
      </c>
      <c r="G226" s="505"/>
    </row>
    <row r="227" spans="1:7" s="506" customFormat="1" ht="18.75" customHeight="1" hidden="1">
      <c r="A227" s="534"/>
      <c r="B227" s="501"/>
      <c r="C227" s="502" t="s">
        <v>978</v>
      </c>
      <c r="D227" s="503">
        <v>0</v>
      </c>
      <c r="E227" s="503">
        <v>0</v>
      </c>
      <c r="F227" s="504" t="e">
        <f t="shared" si="12"/>
        <v>#DIV/0!</v>
      </c>
      <c r="G227" s="530"/>
    </row>
    <row r="228" spans="1:7" s="506" customFormat="1" ht="18.75" customHeight="1">
      <c r="A228" s="535"/>
      <c r="B228" s="488" t="s">
        <v>330</v>
      </c>
      <c r="C228" s="537" t="s">
        <v>109</v>
      </c>
      <c r="D228" s="490">
        <f>SUM(D229,D234)</f>
        <v>430100</v>
      </c>
      <c r="E228" s="490">
        <f>SUM(E229,E234)</f>
        <v>198898.47</v>
      </c>
      <c r="F228" s="491">
        <f t="shared" si="11"/>
        <v>46.244703557312256</v>
      </c>
      <c r="G228" s="505"/>
    </row>
    <row r="229" spans="1:7" s="499" customFormat="1" ht="18.75" customHeight="1">
      <c r="A229" s="494"/>
      <c r="B229" s="495"/>
      <c r="C229" s="496" t="s">
        <v>838</v>
      </c>
      <c r="D229" s="360">
        <f>SUM(D230,D233)</f>
        <v>430100</v>
      </c>
      <c r="E229" s="360">
        <f>SUM(E230,E233)</f>
        <v>198898.47</v>
      </c>
      <c r="F229" s="497">
        <f t="shared" si="11"/>
        <v>46.244703557312256</v>
      </c>
      <c r="G229" s="498"/>
    </row>
    <row r="230" spans="1:7" s="506" customFormat="1" ht="18" customHeight="1">
      <c r="A230" s="500"/>
      <c r="B230" s="501"/>
      <c r="C230" s="502" t="s">
        <v>976</v>
      </c>
      <c r="D230" s="503">
        <f>SUM(D231,D232)</f>
        <v>420800</v>
      </c>
      <c r="E230" s="503">
        <f>SUM(E231,E232)</f>
        <v>194881.19</v>
      </c>
      <c r="F230" s="504">
        <f t="shared" si="11"/>
        <v>46.312069866920154</v>
      </c>
      <c r="G230" s="505"/>
    </row>
    <row r="231" spans="1:7" s="512" customFormat="1" ht="18.75" customHeight="1">
      <c r="A231" s="507"/>
      <c r="B231" s="508"/>
      <c r="C231" s="509" t="s">
        <v>1096</v>
      </c>
      <c r="D231" s="510">
        <v>391500</v>
      </c>
      <c r="E231" s="510">
        <v>178942.39</v>
      </c>
      <c r="F231" s="511">
        <f t="shared" si="11"/>
        <v>45.70686845466157</v>
      </c>
      <c r="G231" s="505"/>
    </row>
    <row r="232" spans="1:7" s="512" customFormat="1" ht="18.75" customHeight="1">
      <c r="A232" s="507"/>
      <c r="B232" s="508"/>
      <c r="C232" s="509" t="s">
        <v>977</v>
      </c>
      <c r="D232" s="510">
        <v>29300</v>
      </c>
      <c r="E232" s="510">
        <v>15938.8</v>
      </c>
      <c r="F232" s="511">
        <f t="shared" si="11"/>
        <v>54.39863481228669</v>
      </c>
      <c r="G232" s="505"/>
    </row>
    <row r="233" spans="1:7" s="506" customFormat="1" ht="18.75" customHeight="1">
      <c r="A233" s="534"/>
      <c r="B233" s="501"/>
      <c r="C233" s="538" t="s">
        <v>982</v>
      </c>
      <c r="D233" s="503">
        <v>9300</v>
      </c>
      <c r="E233" s="503">
        <v>4017.28</v>
      </c>
      <c r="F233" s="504">
        <f t="shared" si="11"/>
        <v>43.196559139784945</v>
      </c>
      <c r="G233" s="505"/>
    </row>
    <row r="234" spans="1:7" s="506" customFormat="1" ht="18.75" customHeight="1" hidden="1">
      <c r="A234" s="534"/>
      <c r="B234" s="501"/>
      <c r="C234" s="496" t="s">
        <v>979</v>
      </c>
      <c r="D234" s="360">
        <f>SUM(D235)</f>
        <v>0</v>
      </c>
      <c r="E234" s="360">
        <f>SUM(E235)</f>
        <v>0</v>
      </c>
      <c r="F234" s="497" t="e">
        <f t="shared" si="11"/>
        <v>#DIV/0!</v>
      </c>
      <c r="G234" s="505"/>
    </row>
    <row r="235" spans="1:7" s="506" customFormat="1" ht="25.5" customHeight="1" hidden="1">
      <c r="A235" s="534"/>
      <c r="B235" s="501"/>
      <c r="C235" s="502" t="s">
        <v>251</v>
      </c>
      <c r="D235" s="503">
        <v>0</v>
      </c>
      <c r="E235" s="503">
        <v>0</v>
      </c>
      <c r="F235" s="504" t="e">
        <f t="shared" si="11"/>
        <v>#DIV/0!</v>
      </c>
      <c r="G235" s="505"/>
    </row>
    <row r="236" spans="1:7" s="493" customFormat="1" ht="18.75" customHeight="1">
      <c r="A236" s="535"/>
      <c r="B236" s="488" t="s">
        <v>750</v>
      </c>
      <c r="C236" s="531" t="s">
        <v>751</v>
      </c>
      <c r="D236" s="490">
        <f>SUM(D237,D240)</f>
        <v>173000</v>
      </c>
      <c r="E236" s="490">
        <f>SUM(E237,E240)</f>
        <v>3263.13</v>
      </c>
      <c r="F236" s="491">
        <f aca="true" t="shared" si="13" ref="F236:F241">E236/D236*100</f>
        <v>1.8862023121387284</v>
      </c>
      <c r="G236" s="485"/>
    </row>
    <row r="237" spans="1:7" s="499" customFormat="1" ht="18.75" customHeight="1">
      <c r="A237" s="494"/>
      <c r="B237" s="495"/>
      <c r="C237" s="496" t="s">
        <v>838</v>
      </c>
      <c r="D237" s="360">
        <f>SUM(D238)</f>
        <v>8000</v>
      </c>
      <c r="E237" s="360">
        <f>SUM(E238)</f>
        <v>3263.13</v>
      </c>
      <c r="F237" s="497">
        <f t="shared" si="13"/>
        <v>40.789125000000006</v>
      </c>
      <c r="G237" s="498"/>
    </row>
    <row r="238" spans="1:7" s="506" customFormat="1" ht="18" customHeight="1">
      <c r="A238" s="500"/>
      <c r="B238" s="501"/>
      <c r="C238" s="502" t="s">
        <v>976</v>
      </c>
      <c r="D238" s="503">
        <f>SUM(D239)</f>
        <v>8000</v>
      </c>
      <c r="E238" s="503">
        <f>SUM(E239)</f>
        <v>3263.13</v>
      </c>
      <c r="F238" s="504">
        <f t="shared" si="13"/>
        <v>40.789125000000006</v>
      </c>
      <c r="G238" s="505"/>
    </row>
    <row r="239" spans="1:7" s="512" customFormat="1" ht="18.75" customHeight="1">
      <c r="A239" s="507"/>
      <c r="B239" s="508"/>
      <c r="C239" s="509" t="s">
        <v>977</v>
      </c>
      <c r="D239" s="510">
        <v>8000</v>
      </c>
      <c r="E239" s="510">
        <v>3263.13</v>
      </c>
      <c r="F239" s="511">
        <f t="shared" si="13"/>
        <v>40.789125000000006</v>
      </c>
      <c r="G239" s="505"/>
    </row>
    <row r="240" spans="1:7" s="499" customFormat="1" ht="18.75" customHeight="1">
      <c r="A240" s="494"/>
      <c r="B240" s="495"/>
      <c r="C240" s="496" t="s">
        <v>979</v>
      </c>
      <c r="D240" s="360">
        <f>SUM(D241)</f>
        <v>165000</v>
      </c>
      <c r="E240" s="360">
        <f>SUM(E241)</f>
        <v>0</v>
      </c>
      <c r="F240" s="497">
        <f t="shared" si="13"/>
        <v>0</v>
      </c>
      <c r="G240" s="498"/>
    </row>
    <row r="241" spans="1:7" s="506" customFormat="1" ht="24.75" customHeight="1">
      <c r="A241" s="500"/>
      <c r="B241" s="501"/>
      <c r="C241" s="502" t="s">
        <v>251</v>
      </c>
      <c r="D241" s="503">
        <v>165000</v>
      </c>
      <c r="E241" s="503">
        <v>0</v>
      </c>
      <c r="F241" s="504">
        <f t="shared" si="13"/>
        <v>0</v>
      </c>
      <c r="G241" s="505"/>
    </row>
    <row r="242" spans="1:8" s="540" customFormat="1" ht="17.25" customHeight="1">
      <c r="A242" s="535"/>
      <c r="B242" s="488" t="s">
        <v>1112</v>
      </c>
      <c r="C242" s="537" t="s">
        <v>176</v>
      </c>
      <c r="D242" s="490">
        <f>SUM(D243,D246)</f>
        <v>593350</v>
      </c>
      <c r="E242" s="490">
        <f>SUM(E243,E246)</f>
        <v>97861.29</v>
      </c>
      <c r="F242" s="491">
        <f t="shared" si="11"/>
        <v>16.493012555827082</v>
      </c>
      <c r="G242" s="505"/>
      <c r="H242" s="506"/>
    </row>
    <row r="243" spans="1:7" s="499" customFormat="1" ht="18.75" customHeight="1">
      <c r="A243" s="494"/>
      <c r="B243" s="495"/>
      <c r="C243" s="496" t="s">
        <v>838</v>
      </c>
      <c r="D243" s="360">
        <f>SUM(D244)</f>
        <v>306350</v>
      </c>
      <c r="E243" s="360">
        <f>SUM(E244)</f>
        <v>97861.29</v>
      </c>
      <c r="F243" s="497">
        <f t="shared" si="11"/>
        <v>31.94427615472499</v>
      </c>
      <c r="G243" s="498"/>
    </row>
    <row r="244" spans="1:7" s="506" customFormat="1" ht="18" customHeight="1">
      <c r="A244" s="500"/>
      <c r="B244" s="501"/>
      <c r="C244" s="502" t="s">
        <v>976</v>
      </c>
      <c r="D244" s="503">
        <f>SUM(D245)</f>
        <v>306350</v>
      </c>
      <c r="E244" s="503">
        <f>SUM(E245)</f>
        <v>97861.29</v>
      </c>
      <c r="F244" s="504">
        <f t="shared" si="11"/>
        <v>31.94427615472499</v>
      </c>
      <c r="G244" s="505"/>
    </row>
    <row r="245" spans="1:7" s="512" customFormat="1" ht="18.75" customHeight="1">
      <c r="A245" s="507"/>
      <c r="B245" s="508"/>
      <c r="C245" s="509" t="s">
        <v>977</v>
      </c>
      <c r="D245" s="510">
        <v>306350</v>
      </c>
      <c r="E245" s="510">
        <v>97861.29</v>
      </c>
      <c r="F245" s="511">
        <f t="shared" si="11"/>
        <v>31.94427615472499</v>
      </c>
      <c r="G245" s="505"/>
    </row>
    <row r="246" spans="1:7" s="499" customFormat="1" ht="18.75" customHeight="1">
      <c r="A246" s="494"/>
      <c r="B246" s="495"/>
      <c r="C246" s="496" t="s">
        <v>979</v>
      </c>
      <c r="D246" s="360">
        <f>SUM(D247)</f>
        <v>287000</v>
      </c>
      <c r="E246" s="360">
        <f>SUM(E247)</f>
        <v>0</v>
      </c>
      <c r="F246" s="497">
        <f t="shared" si="11"/>
        <v>0</v>
      </c>
      <c r="G246" s="498"/>
    </row>
    <row r="247" spans="1:7" s="506" customFormat="1" ht="24.75" customHeight="1">
      <c r="A247" s="500"/>
      <c r="B247" s="501"/>
      <c r="C247" s="502" t="s">
        <v>251</v>
      </c>
      <c r="D247" s="503">
        <v>287000</v>
      </c>
      <c r="E247" s="503">
        <v>0</v>
      </c>
      <c r="F247" s="504">
        <f t="shared" si="11"/>
        <v>0</v>
      </c>
      <c r="G247" s="505"/>
    </row>
    <row r="248" spans="1:7" s="493" customFormat="1" ht="65.25" customHeight="1" hidden="1">
      <c r="A248" s="536" t="s">
        <v>242</v>
      </c>
      <c r="B248" s="481"/>
      <c r="C248" s="482" t="s">
        <v>1119</v>
      </c>
      <c r="D248" s="483">
        <f aca="true" t="shared" si="14" ref="D248:E250">SUM(D249)</f>
        <v>0</v>
      </c>
      <c r="E248" s="483">
        <f t="shared" si="14"/>
        <v>0</v>
      </c>
      <c r="F248" s="484" t="e">
        <f t="shared" si="11"/>
        <v>#DIV/0!</v>
      </c>
      <c r="G248" s="485"/>
    </row>
    <row r="249" spans="1:7" s="506" customFormat="1" ht="27.75" customHeight="1" hidden="1">
      <c r="A249" s="535"/>
      <c r="B249" s="488" t="s">
        <v>1123</v>
      </c>
      <c r="C249" s="489" t="s">
        <v>1124</v>
      </c>
      <c r="D249" s="490">
        <f t="shared" si="14"/>
        <v>0</v>
      </c>
      <c r="E249" s="490">
        <f t="shared" si="14"/>
        <v>0</v>
      </c>
      <c r="F249" s="491" t="e">
        <f t="shared" si="11"/>
        <v>#DIV/0!</v>
      </c>
      <c r="G249" s="505"/>
    </row>
    <row r="250" spans="1:7" s="499" customFormat="1" ht="18.75" customHeight="1" hidden="1">
      <c r="A250" s="494"/>
      <c r="B250" s="495"/>
      <c r="C250" s="496" t="s">
        <v>838</v>
      </c>
      <c r="D250" s="360">
        <f t="shared" si="14"/>
        <v>0</v>
      </c>
      <c r="E250" s="360">
        <f t="shared" si="14"/>
        <v>0</v>
      </c>
      <c r="F250" s="497" t="e">
        <f t="shared" si="11"/>
        <v>#DIV/0!</v>
      </c>
      <c r="G250" s="498"/>
    </row>
    <row r="251" spans="1:7" s="506" customFormat="1" ht="18" customHeight="1" hidden="1">
      <c r="A251" s="500"/>
      <c r="B251" s="501"/>
      <c r="C251" s="502" t="s">
        <v>976</v>
      </c>
      <c r="D251" s="503">
        <f>SUM(D252,D253)</f>
        <v>0</v>
      </c>
      <c r="E251" s="503">
        <f>SUM(E252,E253)</f>
        <v>0</v>
      </c>
      <c r="F251" s="504" t="e">
        <f t="shared" si="11"/>
        <v>#DIV/0!</v>
      </c>
      <c r="G251" s="505"/>
    </row>
    <row r="252" spans="1:7" s="512" customFormat="1" ht="18.75" customHeight="1" hidden="1">
      <c r="A252" s="507"/>
      <c r="B252" s="508"/>
      <c r="C252" s="509" t="s">
        <v>1096</v>
      </c>
      <c r="D252" s="510">
        <v>0</v>
      </c>
      <c r="E252" s="510">
        <v>0</v>
      </c>
      <c r="F252" s="511" t="e">
        <f t="shared" si="11"/>
        <v>#DIV/0!</v>
      </c>
      <c r="G252" s="505"/>
    </row>
    <row r="253" spans="1:7" s="512" customFormat="1" ht="18.75" customHeight="1" hidden="1">
      <c r="A253" s="507"/>
      <c r="B253" s="508"/>
      <c r="C253" s="509" t="s">
        <v>977</v>
      </c>
      <c r="D253" s="510">
        <v>0</v>
      </c>
      <c r="E253" s="510">
        <v>0</v>
      </c>
      <c r="F253" s="511" t="e">
        <f t="shared" si="11"/>
        <v>#DIV/0!</v>
      </c>
      <c r="G253" s="505"/>
    </row>
    <row r="254" spans="1:8" s="540" customFormat="1" ht="18.75" customHeight="1">
      <c r="A254" s="536" t="s">
        <v>9</v>
      </c>
      <c r="B254" s="481"/>
      <c r="C254" s="533" t="s">
        <v>1126</v>
      </c>
      <c r="D254" s="483">
        <f>D255+D260</f>
        <v>3445511</v>
      </c>
      <c r="E254" s="483">
        <f>E255+E260</f>
        <v>995609.21</v>
      </c>
      <c r="F254" s="484">
        <f t="shared" si="11"/>
        <v>28.89583606031152</v>
      </c>
      <c r="G254" s="505"/>
      <c r="H254" s="506"/>
    </row>
    <row r="255" spans="1:8" s="540" customFormat="1" ht="29.25" customHeight="1">
      <c r="A255" s="535"/>
      <c r="B255" s="488" t="s">
        <v>1127</v>
      </c>
      <c r="C255" s="489" t="s">
        <v>1132</v>
      </c>
      <c r="D255" s="490">
        <f>D256</f>
        <v>2500000</v>
      </c>
      <c r="E255" s="490">
        <f>E256</f>
        <v>995609.21</v>
      </c>
      <c r="F255" s="491">
        <f t="shared" si="11"/>
        <v>39.8243684</v>
      </c>
      <c r="G255" s="505"/>
      <c r="H255" s="506"/>
    </row>
    <row r="256" spans="1:7" s="499" customFormat="1" ht="18.75" customHeight="1">
      <c r="A256" s="494"/>
      <c r="B256" s="495"/>
      <c r="C256" s="496" t="s">
        <v>838</v>
      </c>
      <c r="D256" s="360">
        <f>SUM(D257,D258)</f>
        <v>2500000</v>
      </c>
      <c r="E256" s="360">
        <f>SUM(E257,E258)</f>
        <v>995609.21</v>
      </c>
      <c r="F256" s="497">
        <f t="shared" si="11"/>
        <v>39.8243684</v>
      </c>
      <c r="G256" s="498"/>
    </row>
    <row r="257" spans="1:7" s="506" customFormat="1" ht="18" customHeight="1">
      <c r="A257" s="500"/>
      <c r="B257" s="501"/>
      <c r="C257" s="502" t="s">
        <v>984</v>
      </c>
      <c r="D257" s="503">
        <v>2500000</v>
      </c>
      <c r="E257" s="503">
        <v>995609.21</v>
      </c>
      <c r="F257" s="504">
        <f t="shared" si="11"/>
        <v>39.8243684</v>
      </c>
      <c r="G257" s="505"/>
    </row>
    <row r="258" spans="1:7" s="506" customFormat="1" ht="18" customHeight="1" hidden="1">
      <c r="A258" s="500"/>
      <c r="B258" s="501"/>
      <c r="C258" s="502" t="s">
        <v>976</v>
      </c>
      <c r="D258" s="503">
        <f>SUM(D259)</f>
        <v>0</v>
      </c>
      <c r="E258" s="503">
        <f>SUM(E259)</f>
        <v>0</v>
      </c>
      <c r="F258" s="504" t="e">
        <f>E258/D258*100</f>
        <v>#DIV/0!</v>
      </c>
      <c r="G258" s="505"/>
    </row>
    <row r="259" spans="1:7" s="512" customFormat="1" ht="18.75" customHeight="1" hidden="1">
      <c r="A259" s="507"/>
      <c r="B259" s="508"/>
      <c r="C259" s="509" t="s">
        <v>977</v>
      </c>
      <c r="D259" s="510">
        <v>0</v>
      </c>
      <c r="E259" s="510">
        <v>0</v>
      </c>
      <c r="F259" s="511" t="e">
        <f>E259/D259*100</f>
        <v>#DIV/0!</v>
      </c>
      <c r="G259" s="505"/>
    </row>
    <row r="260" spans="1:7" s="512" customFormat="1" ht="44.25" customHeight="1">
      <c r="A260" s="539"/>
      <c r="B260" s="488" t="s">
        <v>932</v>
      </c>
      <c r="C260" s="489" t="s">
        <v>933</v>
      </c>
      <c r="D260" s="503">
        <f>D261</f>
        <v>945511</v>
      </c>
      <c r="E260" s="503">
        <f>E261</f>
        <v>0</v>
      </c>
      <c r="F260" s="504">
        <f t="shared" si="11"/>
        <v>0</v>
      </c>
      <c r="G260" s="505"/>
    </row>
    <row r="261" spans="1:7" s="512" customFormat="1" ht="18.75" customHeight="1">
      <c r="A261" s="539"/>
      <c r="B261" s="488"/>
      <c r="C261" s="496" t="s">
        <v>838</v>
      </c>
      <c r="D261" s="360">
        <f>SUM(D262)</f>
        <v>945511</v>
      </c>
      <c r="E261" s="360">
        <f>SUM(E262)</f>
        <v>0</v>
      </c>
      <c r="F261" s="497">
        <f>E261/D261*100</f>
        <v>0</v>
      </c>
      <c r="G261" s="505"/>
    </row>
    <row r="262" spans="1:7" s="512" customFormat="1" ht="18.75" customHeight="1">
      <c r="A262" s="539"/>
      <c r="B262" s="508"/>
      <c r="C262" s="502" t="s">
        <v>984</v>
      </c>
      <c r="D262" s="503">
        <v>945511</v>
      </c>
      <c r="E262" s="503">
        <v>0</v>
      </c>
      <c r="F262" s="504">
        <f t="shared" si="11"/>
        <v>0</v>
      </c>
      <c r="G262" s="505"/>
    </row>
    <row r="263" spans="1:7" s="486" customFormat="1" ht="18.75" customHeight="1">
      <c r="A263" s="536" t="s">
        <v>10</v>
      </c>
      <c r="B263" s="481"/>
      <c r="C263" s="482" t="s">
        <v>11</v>
      </c>
      <c r="D263" s="483">
        <f>SUM(D264,D271)</f>
        <v>2581552</v>
      </c>
      <c r="E263" s="483">
        <f>SUM(E264,E271)</f>
        <v>53353.57</v>
      </c>
      <c r="F263" s="484">
        <f t="shared" si="11"/>
        <v>2.0667245904789056</v>
      </c>
      <c r="G263" s="485"/>
    </row>
    <row r="264" spans="1:7" s="493" customFormat="1" ht="18.75" customHeight="1">
      <c r="A264" s="535"/>
      <c r="B264" s="488" t="s">
        <v>807</v>
      </c>
      <c r="C264" s="489" t="s">
        <v>808</v>
      </c>
      <c r="D264" s="490">
        <f>SUM(D265,D269)</f>
        <v>54835</v>
      </c>
      <c r="E264" s="490">
        <f>SUM(E265,E269)</f>
        <v>53353.57</v>
      </c>
      <c r="F264" s="491">
        <f aca="true" t="shared" si="15" ref="F264:F270">E264/D264*100</f>
        <v>97.29838606729278</v>
      </c>
      <c r="G264" s="492"/>
    </row>
    <row r="265" spans="1:7" s="499" customFormat="1" ht="18.75" customHeight="1">
      <c r="A265" s="494"/>
      <c r="B265" s="495"/>
      <c r="C265" s="496" t="s">
        <v>838</v>
      </c>
      <c r="D265" s="360">
        <f>SUM(D266,D268)</f>
        <v>54835</v>
      </c>
      <c r="E265" s="360">
        <f>SUM(E266,E268)</f>
        <v>53353.57</v>
      </c>
      <c r="F265" s="497">
        <f t="shared" si="15"/>
        <v>97.29838606729278</v>
      </c>
      <c r="G265" s="498"/>
    </row>
    <row r="266" spans="1:7" s="506" customFormat="1" ht="18" customHeight="1">
      <c r="A266" s="500"/>
      <c r="B266" s="501"/>
      <c r="C266" s="502" t="s">
        <v>976</v>
      </c>
      <c r="D266" s="503">
        <f>SUM(D267)</f>
        <v>54835</v>
      </c>
      <c r="E266" s="503">
        <f>SUM(E267)</f>
        <v>53353.57</v>
      </c>
      <c r="F266" s="504">
        <f t="shared" si="15"/>
        <v>97.29838606729278</v>
      </c>
      <c r="G266" s="505"/>
    </row>
    <row r="267" spans="1:7" s="512" customFormat="1" ht="18.75" customHeight="1">
      <c r="A267" s="507"/>
      <c r="B267" s="508"/>
      <c r="C267" s="509" t="s">
        <v>977</v>
      </c>
      <c r="D267" s="510">
        <v>54835</v>
      </c>
      <c r="E267" s="510">
        <v>53353.57</v>
      </c>
      <c r="F267" s="511">
        <f t="shared" si="15"/>
        <v>97.29838606729278</v>
      </c>
      <c r="G267" s="505"/>
    </row>
    <row r="268" spans="1:7" s="506" customFormat="1" ht="18.75" customHeight="1" hidden="1">
      <c r="A268" s="534"/>
      <c r="B268" s="501"/>
      <c r="C268" s="502" t="s">
        <v>978</v>
      </c>
      <c r="D268" s="503">
        <v>0</v>
      </c>
      <c r="E268" s="503">
        <v>0</v>
      </c>
      <c r="F268" s="504" t="e">
        <f t="shared" si="15"/>
        <v>#DIV/0!</v>
      </c>
      <c r="G268" s="530"/>
    </row>
    <row r="269" spans="1:7" s="499" customFormat="1" ht="18.75" customHeight="1" hidden="1">
      <c r="A269" s="494"/>
      <c r="B269" s="495"/>
      <c r="C269" s="496" t="s">
        <v>979</v>
      </c>
      <c r="D269" s="360">
        <f>SUM(D270)</f>
        <v>0</v>
      </c>
      <c r="E269" s="360">
        <f>SUM(E270)</f>
        <v>0</v>
      </c>
      <c r="F269" s="497" t="e">
        <f t="shared" si="15"/>
        <v>#DIV/0!</v>
      </c>
      <c r="G269" s="498"/>
    </row>
    <row r="270" spans="1:7" s="499" customFormat="1" ht="25.5" customHeight="1" hidden="1">
      <c r="A270" s="494"/>
      <c r="B270" s="495"/>
      <c r="C270" s="502" t="s">
        <v>251</v>
      </c>
      <c r="D270" s="503">
        <v>0</v>
      </c>
      <c r="E270" s="503">
        <v>0</v>
      </c>
      <c r="F270" s="504" t="e">
        <f t="shared" si="15"/>
        <v>#DIV/0!</v>
      </c>
      <c r="G270" s="498"/>
    </row>
    <row r="271" spans="1:7" s="493" customFormat="1" ht="18.75" customHeight="1">
      <c r="A271" s="535"/>
      <c r="B271" s="488" t="s">
        <v>1061</v>
      </c>
      <c r="C271" s="489" t="s">
        <v>1062</v>
      </c>
      <c r="D271" s="490">
        <f aca="true" t="shared" si="16" ref="D271:E273">SUM(D272)</f>
        <v>2526717</v>
      </c>
      <c r="E271" s="490">
        <f t="shared" si="16"/>
        <v>0</v>
      </c>
      <c r="F271" s="491">
        <f t="shared" si="11"/>
        <v>0</v>
      </c>
      <c r="G271" s="485"/>
    </row>
    <row r="272" spans="1:7" s="499" customFormat="1" ht="18.75" customHeight="1">
      <c r="A272" s="494"/>
      <c r="B272" s="495"/>
      <c r="C272" s="496" t="s">
        <v>838</v>
      </c>
      <c r="D272" s="360">
        <f t="shared" si="16"/>
        <v>2526717</v>
      </c>
      <c r="E272" s="360">
        <f t="shared" si="16"/>
        <v>0</v>
      </c>
      <c r="F272" s="497">
        <f t="shared" si="11"/>
        <v>0</v>
      </c>
      <c r="G272" s="498"/>
    </row>
    <row r="273" spans="1:7" s="506" customFormat="1" ht="18" customHeight="1">
      <c r="A273" s="500"/>
      <c r="B273" s="501"/>
      <c r="C273" s="502" t="s">
        <v>976</v>
      </c>
      <c r="D273" s="503">
        <f t="shared" si="16"/>
        <v>2526717</v>
      </c>
      <c r="E273" s="503">
        <f t="shared" si="16"/>
        <v>0</v>
      </c>
      <c r="F273" s="504">
        <f t="shared" si="11"/>
        <v>0</v>
      </c>
      <c r="G273" s="505"/>
    </row>
    <row r="274" spans="1:7" s="512" customFormat="1" ht="18.75" customHeight="1">
      <c r="A274" s="507"/>
      <c r="B274" s="508"/>
      <c r="C274" s="509" t="s">
        <v>977</v>
      </c>
      <c r="D274" s="510">
        <v>2526717</v>
      </c>
      <c r="E274" s="510">
        <v>0</v>
      </c>
      <c r="F274" s="511">
        <f t="shared" si="11"/>
        <v>0</v>
      </c>
      <c r="G274" s="505"/>
    </row>
    <row r="275" spans="1:7" s="493" customFormat="1" ht="18.75" customHeight="1">
      <c r="A275" s="536" t="s">
        <v>12</v>
      </c>
      <c r="B275" s="481"/>
      <c r="C275" s="533" t="s">
        <v>13</v>
      </c>
      <c r="D275" s="483">
        <f>SUM(D276,D286,D292,D302,D308,D311,D320,D324,D328,D336,D342,D347)</f>
        <v>49942971</v>
      </c>
      <c r="E275" s="483">
        <f>SUM(E276,E286,E292,E302,E308,E311,E320,E324,E328,E336,E342,E347)</f>
        <v>21455633.71</v>
      </c>
      <c r="F275" s="484">
        <f aca="true" t="shared" si="17" ref="F275:F317">E275/D275*100</f>
        <v>42.96026704138206</v>
      </c>
      <c r="G275" s="485"/>
    </row>
    <row r="276" spans="1:7" s="506" customFormat="1" ht="18.75" customHeight="1">
      <c r="A276" s="535"/>
      <c r="B276" s="488" t="s">
        <v>14</v>
      </c>
      <c r="C276" s="531" t="s">
        <v>15</v>
      </c>
      <c r="D276" s="490">
        <f>SUM(D277,D283)</f>
        <v>17233484</v>
      </c>
      <c r="E276" s="490">
        <f>SUM(E277,E283)</f>
        <v>8340123.0600000005</v>
      </c>
      <c r="F276" s="491">
        <f t="shared" si="17"/>
        <v>48.39487511637229</v>
      </c>
      <c r="G276" s="505"/>
    </row>
    <row r="277" spans="1:7" s="499" customFormat="1" ht="18.75" customHeight="1">
      <c r="A277" s="494"/>
      <c r="B277" s="495"/>
      <c r="C277" s="496" t="s">
        <v>838</v>
      </c>
      <c r="D277" s="360">
        <f>SUM(D278,D281,D282)</f>
        <v>16231742</v>
      </c>
      <c r="E277" s="360">
        <f>SUM(E278,E281,E282)</f>
        <v>8340123.0600000005</v>
      </c>
      <c r="F277" s="497">
        <f t="shared" si="17"/>
        <v>51.38156496080335</v>
      </c>
      <c r="G277" s="498"/>
    </row>
    <row r="278" spans="1:7" s="506" customFormat="1" ht="18" customHeight="1">
      <c r="A278" s="500"/>
      <c r="B278" s="501"/>
      <c r="C278" s="502" t="s">
        <v>976</v>
      </c>
      <c r="D278" s="503">
        <f>SUM(D279,D280)</f>
        <v>15593683</v>
      </c>
      <c r="E278" s="503">
        <f>SUM(E279,E280)</f>
        <v>8032651.49</v>
      </c>
      <c r="F278" s="504">
        <f t="shared" si="17"/>
        <v>51.512214850077434</v>
      </c>
      <c r="G278" s="505"/>
    </row>
    <row r="279" spans="1:7" s="512" customFormat="1" ht="18.75" customHeight="1">
      <c r="A279" s="507"/>
      <c r="B279" s="508"/>
      <c r="C279" s="509" t="s">
        <v>1096</v>
      </c>
      <c r="D279" s="510">
        <v>13074904</v>
      </c>
      <c r="E279" s="510">
        <v>6784844.09</v>
      </c>
      <c r="F279" s="511">
        <f t="shared" si="17"/>
        <v>51.89211400710858</v>
      </c>
      <c r="G279" s="505"/>
    </row>
    <row r="280" spans="1:7" s="512" customFormat="1" ht="18.75" customHeight="1">
      <c r="A280" s="507"/>
      <c r="B280" s="508"/>
      <c r="C280" s="509" t="s">
        <v>977</v>
      </c>
      <c r="D280" s="510">
        <v>2518779</v>
      </c>
      <c r="E280" s="510">
        <v>1247807.4</v>
      </c>
      <c r="F280" s="511">
        <f t="shared" si="17"/>
        <v>49.540170058587904</v>
      </c>
      <c r="G280" s="505"/>
    </row>
    <row r="281" spans="1:7" s="506" customFormat="1" ht="18.75" customHeight="1">
      <c r="A281" s="534"/>
      <c r="B281" s="501"/>
      <c r="C281" s="538" t="s">
        <v>982</v>
      </c>
      <c r="D281" s="503">
        <v>17100</v>
      </c>
      <c r="E281" s="503">
        <v>8747.8</v>
      </c>
      <c r="F281" s="504">
        <f t="shared" si="17"/>
        <v>51.15672514619882</v>
      </c>
      <c r="G281" s="505"/>
    </row>
    <row r="282" spans="1:7" s="506" customFormat="1" ht="18.75" customHeight="1">
      <c r="A282" s="500"/>
      <c r="B282" s="501"/>
      <c r="C282" s="502" t="s">
        <v>978</v>
      </c>
      <c r="D282" s="503">
        <v>620959</v>
      </c>
      <c r="E282" s="503">
        <v>298723.77</v>
      </c>
      <c r="F282" s="504">
        <f t="shared" si="17"/>
        <v>48.10684280282595</v>
      </c>
      <c r="G282" s="530"/>
    </row>
    <row r="283" spans="1:7" s="499" customFormat="1" ht="18.75" customHeight="1">
      <c r="A283" s="494"/>
      <c r="B283" s="495"/>
      <c r="C283" s="496" t="s">
        <v>979</v>
      </c>
      <c r="D283" s="360">
        <f>SUM(D284,D285)</f>
        <v>1001742</v>
      </c>
      <c r="E283" s="360">
        <f>SUM(E284,E285)</f>
        <v>0</v>
      </c>
      <c r="F283" s="497">
        <f t="shared" si="17"/>
        <v>0</v>
      </c>
      <c r="G283" s="498"/>
    </row>
    <row r="284" spans="1:7" s="506" customFormat="1" ht="24.75" customHeight="1">
      <c r="A284" s="500"/>
      <c r="B284" s="501"/>
      <c r="C284" s="502" t="s">
        <v>251</v>
      </c>
      <c r="D284" s="503">
        <v>1001742</v>
      </c>
      <c r="E284" s="503">
        <v>0</v>
      </c>
      <c r="F284" s="504">
        <f t="shared" si="17"/>
        <v>0</v>
      </c>
      <c r="G284" s="505"/>
    </row>
    <row r="285" spans="1:7" s="506" customFormat="1" ht="18" customHeight="1" hidden="1">
      <c r="A285" s="534"/>
      <c r="B285" s="501"/>
      <c r="C285" s="502" t="s">
        <v>989</v>
      </c>
      <c r="D285" s="503">
        <v>0</v>
      </c>
      <c r="E285" s="503">
        <v>0</v>
      </c>
      <c r="F285" s="504" t="e">
        <f t="shared" si="17"/>
        <v>#DIV/0!</v>
      </c>
      <c r="G285" s="505"/>
    </row>
    <row r="286" spans="1:7" s="493" customFormat="1" ht="18.75" customHeight="1">
      <c r="A286" s="535"/>
      <c r="B286" s="488" t="s">
        <v>772</v>
      </c>
      <c r="C286" s="531" t="s">
        <v>773</v>
      </c>
      <c r="D286" s="490">
        <f>D287</f>
        <v>126454</v>
      </c>
      <c r="E286" s="490">
        <f>E287</f>
        <v>68270.66</v>
      </c>
      <c r="F286" s="491">
        <f t="shared" si="17"/>
        <v>53.98853337972702</v>
      </c>
      <c r="G286" s="485"/>
    </row>
    <row r="287" spans="1:7" s="499" customFormat="1" ht="18.75" customHeight="1">
      <c r="A287" s="494"/>
      <c r="B287" s="495"/>
      <c r="C287" s="496" t="s">
        <v>838</v>
      </c>
      <c r="D287" s="360">
        <f>SUM(D288,D291)</f>
        <v>126454</v>
      </c>
      <c r="E287" s="360">
        <f>SUM(E288,E291)</f>
        <v>68270.66</v>
      </c>
      <c r="F287" s="497">
        <f t="shared" si="17"/>
        <v>53.98853337972702</v>
      </c>
      <c r="G287" s="498"/>
    </row>
    <row r="288" spans="1:7" s="506" customFormat="1" ht="18" customHeight="1">
      <c r="A288" s="500"/>
      <c r="B288" s="501"/>
      <c r="C288" s="502" t="s">
        <v>976</v>
      </c>
      <c r="D288" s="503">
        <f>SUM(D289,D290)</f>
        <v>114481</v>
      </c>
      <c r="E288" s="503">
        <f>SUM(E289,E290)</f>
        <v>64244.42</v>
      </c>
      <c r="F288" s="504">
        <f t="shared" si="17"/>
        <v>56.11797590866606</v>
      </c>
      <c r="G288" s="505"/>
    </row>
    <row r="289" spans="1:7" s="512" customFormat="1" ht="18.75" customHeight="1">
      <c r="A289" s="507"/>
      <c r="B289" s="508"/>
      <c r="C289" s="509" t="s">
        <v>1096</v>
      </c>
      <c r="D289" s="510">
        <v>101232</v>
      </c>
      <c r="E289" s="510">
        <v>52482.96</v>
      </c>
      <c r="F289" s="511">
        <f t="shared" si="17"/>
        <v>51.84423897581792</v>
      </c>
      <c r="G289" s="505"/>
    </row>
    <row r="290" spans="1:7" s="512" customFormat="1" ht="18.75" customHeight="1">
      <c r="A290" s="507"/>
      <c r="B290" s="508"/>
      <c r="C290" s="509" t="s">
        <v>977</v>
      </c>
      <c r="D290" s="510">
        <v>13249</v>
      </c>
      <c r="E290" s="510">
        <v>11761.46</v>
      </c>
      <c r="F290" s="511">
        <f t="shared" si="17"/>
        <v>88.77243565552116</v>
      </c>
      <c r="G290" s="505"/>
    </row>
    <row r="291" spans="1:7" s="506" customFormat="1" ht="18.75" customHeight="1">
      <c r="A291" s="500"/>
      <c r="B291" s="501"/>
      <c r="C291" s="502" t="s">
        <v>978</v>
      </c>
      <c r="D291" s="503">
        <v>11973</v>
      </c>
      <c r="E291" s="503">
        <v>4026.24</v>
      </c>
      <c r="F291" s="504">
        <f t="shared" si="17"/>
        <v>33.62766224004009</v>
      </c>
      <c r="G291" s="530"/>
    </row>
    <row r="292" spans="1:8" s="540" customFormat="1" ht="18.75" customHeight="1">
      <c r="A292" s="535"/>
      <c r="B292" s="488" t="s">
        <v>1136</v>
      </c>
      <c r="C292" s="531" t="s">
        <v>1137</v>
      </c>
      <c r="D292" s="490">
        <f>SUM(D293,D299)</f>
        <v>17025220</v>
      </c>
      <c r="E292" s="490">
        <f>SUM(E293,E299)</f>
        <v>6140807.79</v>
      </c>
      <c r="F292" s="491">
        <f t="shared" si="17"/>
        <v>36.068889506273635</v>
      </c>
      <c r="G292" s="505"/>
      <c r="H292" s="506"/>
    </row>
    <row r="293" spans="1:7" s="499" customFormat="1" ht="18.75" customHeight="1">
      <c r="A293" s="494"/>
      <c r="B293" s="495"/>
      <c r="C293" s="496" t="s">
        <v>838</v>
      </c>
      <c r="D293" s="360">
        <f>SUM(D294,D297,D298)</f>
        <v>11357320</v>
      </c>
      <c r="E293" s="360">
        <f>SUM(E294,E297,E298)</f>
        <v>5535963.62</v>
      </c>
      <c r="F293" s="497">
        <f t="shared" si="17"/>
        <v>48.743573483885285</v>
      </c>
      <c r="G293" s="498"/>
    </row>
    <row r="294" spans="1:7" s="506" customFormat="1" ht="18" customHeight="1">
      <c r="A294" s="500"/>
      <c r="B294" s="501"/>
      <c r="C294" s="502" t="s">
        <v>976</v>
      </c>
      <c r="D294" s="503">
        <f>SUM(D295,D296)</f>
        <v>9676515</v>
      </c>
      <c r="E294" s="503">
        <f>SUM(E295,E296)</f>
        <v>4894620.87</v>
      </c>
      <c r="F294" s="504">
        <f t="shared" si="17"/>
        <v>50.58247592237495</v>
      </c>
      <c r="G294" s="505"/>
    </row>
    <row r="295" spans="1:7" s="512" customFormat="1" ht="18.75" customHeight="1">
      <c r="A295" s="507"/>
      <c r="B295" s="508"/>
      <c r="C295" s="509" t="s">
        <v>1096</v>
      </c>
      <c r="D295" s="510">
        <v>8217278</v>
      </c>
      <c r="E295" s="510">
        <v>4078583.82</v>
      </c>
      <c r="F295" s="511">
        <f t="shared" si="17"/>
        <v>49.63424408910104</v>
      </c>
      <c r="G295" s="505"/>
    </row>
    <row r="296" spans="1:7" s="512" customFormat="1" ht="18.75" customHeight="1">
      <c r="A296" s="507"/>
      <c r="B296" s="508"/>
      <c r="C296" s="509" t="s">
        <v>977</v>
      </c>
      <c r="D296" s="510">
        <v>1459237</v>
      </c>
      <c r="E296" s="510">
        <v>816037.05</v>
      </c>
      <c r="F296" s="511">
        <f t="shared" si="17"/>
        <v>55.92217371132997</v>
      </c>
      <c r="G296" s="505"/>
    </row>
    <row r="297" spans="1:7" s="506" customFormat="1" ht="18.75" customHeight="1">
      <c r="A297" s="500"/>
      <c r="B297" s="501"/>
      <c r="C297" s="502" t="s">
        <v>978</v>
      </c>
      <c r="D297" s="503">
        <v>1666005</v>
      </c>
      <c r="E297" s="503">
        <v>634117.38</v>
      </c>
      <c r="F297" s="504">
        <f t="shared" si="17"/>
        <v>38.06215347492955</v>
      </c>
      <c r="G297" s="530"/>
    </row>
    <row r="298" spans="1:7" s="506" customFormat="1" ht="18.75" customHeight="1">
      <c r="A298" s="500"/>
      <c r="B298" s="501"/>
      <c r="C298" s="502" t="s">
        <v>982</v>
      </c>
      <c r="D298" s="503">
        <v>14800</v>
      </c>
      <c r="E298" s="503">
        <v>7225.37</v>
      </c>
      <c r="F298" s="504">
        <f>E298/D298*100</f>
        <v>48.82006756756756</v>
      </c>
      <c r="G298" s="530"/>
    </row>
    <row r="299" spans="1:7" s="499" customFormat="1" ht="18.75" customHeight="1">
      <c r="A299" s="494"/>
      <c r="B299" s="495"/>
      <c r="C299" s="496" t="s">
        <v>979</v>
      </c>
      <c r="D299" s="360">
        <f>SUM(D300,D301)</f>
        <v>5667900</v>
      </c>
      <c r="E299" s="360">
        <f>SUM(E300,E301)</f>
        <v>604844.17</v>
      </c>
      <c r="F299" s="497">
        <f>E299/D299*100</f>
        <v>10.671398048659999</v>
      </c>
      <c r="G299" s="498"/>
    </row>
    <row r="300" spans="1:7" s="506" customFormat="1" ht="26.25" customHeight="1">
      <c r="A300" s="500"/>
      <c r="B300" s="501"/>
      <c r="C300" s="502" t="s">
        <v>251</v>
      </c>
      <c r="D300" s="503">
        <v>1287900</v>
      </c>
      <c r="E300" s="503">
        <v>604844.17</v>
      </c>
      <c r="F300" s="504">
        <f>E300/D300*100</f>
        <v>46.96359732898517</v>
      </c>
      <c r="G300" s="505"/>
    </row>
    <row r="301" spans="1:7" s="506" customFormat="1" ht="26.25" customHeight="1">
      <c r="A301" s="534"/>
      <c r="B301" s="501"/>
      <c r="C301" s="502" t="s">
        <v>989</v>
      </c>
      <c r="D301" s="503">
        <v>4380000</v>
      </c>
      <c r="E301" s="503">
        <v>0</v>
      </c>
      <c r="F301" s="504">
        <f>E301/D301*100</f>
        <v>0</v>
      </c>
      <c r="G301" s="505"/>
    </row>
    <row r="302" spans="1:8" s="540" customFormat="1" ht="18.75" customHeight="1">
      <c r="A302" s="535"/>
      <c r="B302" s="488" t="s">
        <v>985</v>
      </c>
      <c r="C302" s="531" t="s">
        <v>986</v>
      </c>
      <c r="D302" s="490">
        <f>SUM(D303)</f>
        <v>1007177</v>
      </c>
      <c r="E302" s="490">
        <f>SUM(E303)</f>
        <v>434002.79</v>
      </c>
      <c r="F302" s="491">
        <f t="shared" si="17"/>
        <v>43.091014786874595</v>
      </c>
      <c r="G302" s="505"/>
      <c r="H302" s="506"/>
    </row>
    <row r="303" spans="1:7" s="499" customFormat="1" ht="18.75" customHeight="1">
      <c r="A303" s="494"/>
      <c r="B303" s="495"/>
      <c r="C303" s="496" t="s">
        <v>838</v>
      </c>
      <c r="D303" s="360">
        <f>SUM(D304,D307)</f>
        <v>1007177</v>
      </c>
      <c r="E303" s="360">
        <f>SUM(E304,E307)</f>
        <v>434002.79</v>
      </c>
      <c r="F303" s="497">
        <f t="shared" si="17"/>
        <v>43.091014786874595</v>
      </c>
      <c r="G303" s="498"/>
    </row>
    <row r="304" spans="1:7" s="506" customFormat="1" ht="18" customHeight="1">
      <c r="A304" s="500"/>
      <c r="B304" s="501"/>
      <c r="C304" s="502" t="s">
        <v>976</v>
      </c>
      <c r="D304" s="503">
        <f>SUM(D305,D306)</f>
        <v>501363</v>
      </c>
      <c r="E304" s="503">
        <f>SUM(E305,E306)</f>
        <v>292022.99</v>
      </c>
      <c r="F304" s="504">
        <f>E304/D304*100</f>
        <v>58.245819894966324</v>
      </c>
      <c r="G304" s="505"/>
    </row>
    <row r="305" spans="1:7" s="512" customFormat="1" ht="18.75" customHeight="1">
      <c r="A305" s="507"/>
      <c r="B305" s="508"/>
      <c r="C305" s="509" t="s">
        <v>1096</v>
      </c>
      <c r="D305" s="510">
        <v>451030</v>
      </c>
      <c r="E305" s="510">
        <v>273692.99</v>
      </c>
      <c r="F305" s="511">
        <f>E305/D305*100</f>
        <v>60.68177061392812</v>
      </c>
      <c r="G305" s="505"/>
    </row>
    <row r="306" spans="1:7" s="512" customFormat="1" ht="18.75" customHeight="1">
      <c r="A306" s="507"/>
      <c r="B306" s="508"/>
      <c r="C306" s="509" t="s">
        <v>977</v>
      </c>
      <c r="D306" s="510">
        <v>50333</v>
      </c>
      <c r="E306" s="510">
        <v>18330</v>
      </c>
      <c r="F306" s="511">
        <f>E306/D306*100</f>
        <v>36.41745971827628</v>
      </c>
      <c r="G306" s="505"/>
    </row>
    <row r="307" spans="1:7" s="506" customFormat="1" ht="18.75" customHeight="1">
      <c r="A307" s="500"/>
      <c r="B307" s="501"/>
      <c r="C307" s="502" t="s">
        <v>978</v>
      </c>
      <c r="D307" s="503">
        <v>505814</v>
      </c>
      <c r="E307" s="503">
        <v>141979.8</v>
      </c>
      <c r="F307" s="504">
        <f t="shared" si="17"/>
        <v>28.069567074062796</v>
      </c>
      <c r="G307" s="530"/>
    </row>
    <row r="308" spans="1:8" s="540" customFormat="1" ht="18.75" customHeight="1">
      <c r="A308" s="535"/>
      <c r="B308" s="488" t="s">
        <v>1199</v>
      </c>
      <c r="C308" s="531" t="s">
        <v>1200</v>
      </c>
      <c r="D308" s="490">
        <f>SUM(D309)</f>
        <v>214202</v>
      </c>
      <c r="E308" s="490">
        <f>SUM(E309)</f>
        <v>61876.71</v>
      </c>
      <c r="F308" s="491">
        <f>E308/D308*100</f>
        <v>28.887083220511478</v>
      </c>
      <c r="G308" s="505"/>
      <c r="H308" s="506"/>
    </row>
    <row r="309" spans="1:7" s="499" customFormat="1" ht="18.75" customHeight="1">
      <c r="A309" s="494"/>
      <c r="B309" s="495"/>
      <c r="C309" s="496" t="s">
        <v>838</v>
      </c>
      <c r="D309" s="360">
        <f>SUM(D310)</f>
        <v>214202</v>
      </c>
      <c r="E309" s="360">
        <f>SUM(E310)</f>
        <v>61876.71</v>
      </c>
      <c r="F309" s="497">
        <f>E309/D309*100</f>
        <v>28.887083220511478</v>
      </c>
      <c r="G309" s="498"/>
    </row>
    <row r="310" spans="1:7" s="506" customFormat="1" ht="18" customHeight="1">
      <c r="A310" s="500"/>
      <c r="B310" s="501"/>
      <c r="C310" s="502" t="s">
        <v>978</v>
      </c>
      <c r="D310" s="503">
        <v>214202</v>
      </c>
      <c r="E310" s="503">
        <v>61876.71</v>
      </c>
      <c r="F310" s="504">
        <f>E310/D310*100</f>
        <v>28.887083220511478</v>
      </c>
      <c r="G310" s="505"/>
    </row>
    <row r="311" spans="1:8" s="540" customFormat="1" ht="18.75" customHeight="1">
      <c r="A311" s="535"/>
      <c r="B311" s="488" t="s">
        <v>16</v>
      </c>
      <c r="C311" s="531" t="s">
        <v>17</v>
      </c>
      <c r="D311" s="490">
        <f>SUM(D312,D318)</f>
        <v>9255314</v>
      </c>
      <c r="E311" s="490">
        <f>SUM(E312,E318)</f>
        <v>4611827.53</v>
      </c>
      <c r="F311" s="491">
        <f t="shared" si="17"/>
        <v>49.82896884967922</v>
      </c>
      <c r="G311" s="505"/>
      <c r="H311" s="506"/>
    </row>
    <row r="312" spans="1:7" s="499" customFormat="1" ht="18.75" customHeight="1">
      <c r="A312" s="494"/>
      <c r="B312" s="495"/>
      <c r="C312" s="496" t="s">
        <v>838</v>
      </c>
      <c r="D312" s="360">
        <f>SUM(D313,D316,D317)</f>
        <v>9188914</v>
      </c>
      <c r="E312" s="360">
        <f>SUM(E313,E316,E317)</f>
        <v>4611827.53</v>
      </c>
      <c r="F312" s="497">
        <f t="shared" si="17"/>
        <v>50.189037899364386</v>
      </c>
      <c r="G312" s="498"/>
    </row>
    <row r="313" spans="1:7" s="506" customFormat="1" ht="18" customHeight="1">
      <c r="A313" s="500"/>
      <c r="B313" s="501"/>
      <c r="C313" s="502" t="s">
        <v>976</v>
      </c>
      <c r="D313" s="503">
        <f>SUM(D314,D315)</f>
        <v>8569002</v>
      </c>
      <c r="E313" s="503">
        <f>SUM(E314,E315)</f>
        <v>4359856.93</v>
      </c>
      <c r="F313" s="504">
        <f t="shared" si="17"/>
        <v>50.8794014752243</v>
      </c>
      <c r="G313" s="505"/>
    </row>
    <row r="314" spans="1:7" s="512" customFormat="1" ht="18.75" customHeight="1">
      <c r="A314" s="507"/>
      <c r="B314" s="508"/>
      <c r="C314" s="509" t="s">
        <v>1096</v>
      </c>
      <c r="D314" s="510">
        <v>6868217</v>
      </c>
      <c r="E314" s="510">
        <v>3674798.58</v>
      </c>
      <c r="F314" s="511">
        <f t="shared" si="17"/>
        <v>53.50440412700996</v>
      </c>
      <c r="G314" s="505"/>
    </row>
    <row r="315" spans="1:7" s="512" customFormat="1" ht="18.75" customHeight="1">
      <c r="A315" s="507"/>
      <c r="B315" s="508"/>
      <c r="C315" s="509" t="s">
        <v>977</v>
      </c>
      <c r="D315" s="510">
        <v>1700785</v>
      </c>
      <c r="E315" s="510">
        <v>685058.35</v>
      </c>
      <c r="F315" s="511">
        <f t="shared" si="17"/>
        <v>40.27895060222191</v>
      </c>
      <c r="G315" s="505"/>
    </row>
    <row r="316" spans="1:7" s="506" customFormat="1" ht="18.75" customHeight="1">
      <c r="A316" s="534"/>
      <c r="B316" s="501"/>
      <c r="C316" s="538" t="s">
        <v>982</v>
      </c>
      <c r="D316" s="503">
        <v>11625</v>
      </c>
      <c r="E316" s="503">
        <v>2600.41</v>
      </c>
      <c r="F316" s="504">
        <f t="shared" si="17"/>
        <v>22.369118279569893</v>
      </c>
      <c r="G316" s="505"/>
    </row>
    <row r="317" spans="1:7" s="506" customFormat="1" ht="18.75" customHeight="1">
      <c r="A317" s="500"/>
      <c r="B317" s="501"/>
      <c r="C317" s="502" t="s">
        <v>978</v>
      </c>
      <c r="D317" s="503">
        <v>608287</v>
      </c>
      <c r="E317" s="503">
        <v>249370.19</v>
      </c>
      <c r="F317" s="504">
        <f t="shared" si="17"/>
        <v>40.995482395645475</v>
      </c>
      <c r="G317" s="530"/>
    </row>
    <row r="318" spans="1:7" s="506" customFormat="1" ht="18.75" customHeight="1">
      <c r="A318" s="534"/>
      <c r="B318" s="501"/>
      <c r="C318" s="496" t="s">
        <v>979</v>
      </c>
      <c r="D318" s="360">
        <f>SUM(D319)</f>
        <v>66400</v>
      </c>
      <c r="E318" s="360">
        <f>SUM(E319)</f>
        <v>0</v>
      </c>
      <c r="F318" s="497">
        <f>E318/D318*100</f>
        <v>0</v>
      </c>
      <c r="G318" s="530"/>
    </row>
    <row r="319" spans="1:7" s="506" customFormat="1" ht="27.75" customHeight="1">
      <c r="A319" s="534"/>
      <c r="B319" s="501"/>
      <c r="C319" s="502" t="s">
        <v>251</v>
      </c>
      <c r="D319" s="503">
        <v>66400</v>
      </c>
      <c r="E319" s="503">
        <v>0</v>
      </c>
      <c r="F319" s="504">
        <f>E319/D319*100</f>
        <v>0</v>
      </c>
      <c r="G319" s="530"/>
    </row>
    <row r="320" spans="1:7" s="493" customFormat="1" ht="17.25" customHeight="1">
      <c r="A320" s="545"/>
      <c r="B320" s="488" t="s">
        <v>813</v>
      </c>
      <c r="C320" s="531" t="s">
        <v>814</v>
      </c>
      <c r="D320" s="490">
        <f>D321</f>
        <v>108000</v>
      </c>
      <c r="E320" s="490">
        <f>E321</f>
        <v>29151.25</v>
      </c>
      <c r="F320" s="491">
        <f aca="true" t="shared" si="18" ref="F320:F351">E320/D320*100</f>
        <v>26.991898148148145</v>
      </c>
      <c r="G320" s="485"/>
    </row>
    <row r="321" spans="1:7" s="499" customFormat="1" ht="18.75" customHeight="1">
      <c r="A321" s="494"/>
      <c r="B321" s="495"/>
      <c r="C321" s="496" t="s">
        <v>838</v>
      </c>
      <c r="D321" s="360">
        <f>SUM(D322)</f>
        <v>108000</v>
      </c>
      <c r="E321" s="360">
        <f>SUM(E322)</f>
        <v>29151.25</v>
      </c>
      <c r="F321" s="497">
        <f t="shared" si="18"/>
        <v>26.991898148148145</v>
      </c>
      <c r="G321" s="498"/>
    </row>
    <row r="322" spans="1:7" s="506" customFormat="1" ht="18" customHeight="1">
      <c r="A322" s="500"/>
      <c r="B322" s="501"/>
      <c r="C322" s="502" t="s">
        <v>976</v>
      </c>
      <c r="D322" s="503">
        <f>SUM(D323)</f>
        <v>108000</v>
      </c>
      <c r="E322" s="503">
        <f>SUM(E323)</f>
        <v>29151.25</v>
      </c>
      <c r="F322" s="504">
        <f t="shared" si="18"/>
        <v>26.991898148148145</v>
      </c>
      <c r="G322" s="505"/>
    </row>
    <row r="323" spans="1:7" s="512" customFormat="1" ht="18.75" customHeight="1">
      <c r="A323" s="507"/>
      <c r="B323" s="508"/>
      <c r="C323" s="509" t="s">
        <v>977</v>
      </c>
      <c r="D323" s="510">
        <v>108000</v>
      </c>
      <c r="E323" s="510">
        <v>29151.25</v>
      </c>
      <c r="F323" s="511">
        <f t="shared" si="18"/>
        <v>26.991898148148145</v>
      </c>
      <c r="G323" s="505"/>
    </row>
    <row r="324" spans="1:7" s="493" customFormat="1" ht="18.75" customHeight="1">
      <c r="A324" s="535"/>
      <c r="B324" s="488" t="s">
        <v>1147</v>
      </c>
      <c r="C324" s="531" t="s">
        <v>1148</v>
      </c>
      <c r="D324" s="490">
        <f>D327</f>
        <v>185423</v>
      </c>
      <c r="E324" s="490">
        <f>E327</f>
        <v>63386.62</v>
      </c>
      <c r="F324" s="491">
        <f t="shared" si="18"/>
        <v>34.18487458405915</v>
      </c>
      <c r="G324" s="485"/>
    </row>
    <row r="325" spans="1:7" s="499" customFormat="1" ht="18.75" customHeight="1">
      <c r="A325" s="494"/>
      <c r="B325" s="495"/>
      <c r="C325" s="496" t="s">
        <v>838</v>
      </c>
      <c r="D325" s="360">
        <f>SUM(D326)</f>
        <v>185423</v>
      </c>
      <c r="E325" s="360">
        <f>SUM(E326)</f>
        <v>63386.62</v>
      </c>
      <c r="F325" s="497">
        <f t="shared" si="18"/>
        <v>34.18487458405915</v>
      </c>
      <c r="G325" s="498"/>
    </row>
    <row r="326" spans="1:7" s="506" customFormat="1" ht="18" customHeight="1">
      <c r="A326" s="500"/>
      <c r="B326" s="501"/>
      <c r="C326" s="502" t="s">
        <v>976</v>
      </c>
      <c r="D326" s="503">
        <f>SUM(D327)</f>
        <v>185423</v>
      </c>
      <c r="E326" s="503">
        <f>SUM(E327)</f>
        <v>63386.62</v>
      </c>
      <c r="F326" s="504">
        <f t="shared" si="18"/>
        <v>34.18487458405915</v>
      </c>
      <c r="G326" s="505"/>
    </row>
    <row r="327" spans="1:7" s="512" customFormat="1" ht="18.75" customHeight="1">
      <c r="A327" s="507"/>
      <c r="B327" s="508"/>
      <c r="C327" s="509" t="s">
        <v>977</v>
      </c>
      <c r="D327" s="510">
        <v>185423</v>
      </c>
      <c r="E327" s="510">
        <v>63386.62</v>
      </c>
      <c r="F327" s="511">
        <f t="shared" si="18"/>
        <v>34.18487458405915</v>
      </c>
      <c r="G327" s="505"/>
    </row>
    <row r="328" spans="1:7" s="493" customFormat="1" ht="18.75" customHeight="1">
      <c r="A328" s="535"/>
      <c r="B328" s="488" t="s">
        <v>467</v>
      </c>
      <c r="C328" s="489" t="s">
        <v>1009</v>
      </c>
      <c r="D328" s="490">
        <f>SUM(D329,D334)</f>
        <v>1377261</v>
      </c>
      <c r="E328" s="490">
        <f>SUM(E329,E334)</f>
        <v>749940.5700000001</v>
      </c>
      <c r="F328" s="491">
        <f t="shared" si="18"/>
        <v>54.451594142286766</v>
      </c>
      <c r="G328" s="485"/>
    </row>
    <row r="329" spans="1:7" s="499" customFormat="1" ht="18.75" customHeight="1">
      <c r="A329" s="494"/>
      <c r="B329" s="495"/>
      <c r="C329" s="496" t="s">
        <v>838</v>
      </c>
      <c r="D329" s="360">
        <f>SUM(D330,D333)</f>
        <v>1377261</v>
      </c>
      <c r="E329" s="360">
        <f>SUM(E330,E333)</f>
        <v>749940.5700000001</v>
      </c>
      <c r="F329" s="497">
        <f t="shared" si="18"/>
        <v>54.451594142286766</v>
      </c>
      <c r="G329" s="498"/>
    </row>
    <row r="330" spans="1:7" s="506" customFormat="1" ht="18" customHeight="1">
      <c r="A330" s="500"/>
      <c r="B330" s="501"/>
      <c r="C330" s="502" t="s">
        <v>976</v>
      </c>
      <c r="D330" s="503">
        <f>SUM(D331,D332)</f>
        <v>1369226</v>
      </c>
      <c r="E330" s="503">
        <f>SUM(E331,E332)</f>
        <v>748148.89</v>
      </c>
      <c r="F330" s="504">
        <f t="shared" si="18"/>
        <v>54.64027779197883</v>
      </c>
      <c r="G330" s="505"/>
    </row>
    <row r="331" spans="1:7" s="512" customFormat="1" ht="18.75" customHeight="1">
      <c r="A331" s="507"/>
      <c r="B331" s="508"/>
      <c r="C331" s="509" t="s">
        <v>1096</v>
      </c>
      <c r="D331" s="510">
        <v>1225850</v>
      </c>
      <c r="E331" s="510">
        <v>658656.34</v>
      </c>
      <c r="F331" s="511">
        <f t="shared" si="18"/>
        <v>53.730582045111554</v>
      </c>
      <c r="G331" s="505"/>
    </row>
    <row r="332" spans="1:7" s="512" customFormat="1" ht="18.75" customHeight="1">
      <c r="A332" s="507"/>
      <c r="B332" s="508"/>
      <c r="C332" s="509" t="s">
        <v>977</v>
      </c>
      <c r="D332" s="510">
        <v>143376</v>
      </c>
      <c r="E332" s="510">
        <v>89492.55</v>
      </c>
      <c r="F332" s="511">
        <f t="shared" si="18"/>
        <v>62.418082524271846</v>
      </c>
      <c r="G332" s="505"/>
    </row>
    <row r="333" spans="1:7" s="506" customFormat="1" ht="18.75" customHeight="1">
      <c r="A333" s="534"/>
      <c r="B333" s="501"/>
      <c r="C333" s="538" t="s">
        <v>982</v>
      </c>
      <c r="D333" s="503">
        <v>8035</v>
      </c>
      <c r="E333" s="503">
        <v>1791.68</v>
      </c>
      <c r="F333" s="504">
        <f t="shared" si="18"/>
        <v>22.298444306160548</v>
      </c>
      <c r="G333" s="505"/>
    </row>
    <row r="334" spans="1:7" s="499" customFormat="1" ht="18.75" customHeight="1" hidden="1">
      <c r="A334" s="494"/>
      <c r="B334" s="495"/>
      <c r="C334" s="496" t="s">
        <v>979</v>
      </c>
      <c r="D334" s="360">
        <f>SUM(D335)</f>
        <v>0</v>
      </c>
      <c r="E334" s="360">
        <f>SUM(E335)</f>
        <v>0</v>
      </c>
      <c r="F334" s="497" t="e">
        <f t="shared" si="18"/>
        <v>#DIV/0!</v>
      </c>
      <c r="G334" s="1487"/>
    </row>
    <row r="335" spans="1:7" s="506" customFormat="1" ht="24.75" customHeight="1" hidden="1">
      <c r="A335" s="500"/>
      <c r="B335" s="501"/>
      <c r="C335" s="502" t="s">
        <v>251</v>
      </c>
      <c r="D335" s="503">
        <v>0</v>
      </c>
      <c r="E335" s="503">
        <v>0</v>
      </c>
      <c r="F335" s="504" t="e">
        <f t="shared" si="18"/>
        <v>#DIV/0!</v>
      </c>
      <c r="G335" s="1487"/>
    </row>
    <row r="336" spans="1:7" s="493" customFormat="1" ht="66" customHeight="1">
      <c r="A336" s="535"/>
      <c r="B336" s="488" t="s">
        <v>1273</v>
      </c>
      <c r="C336" s="489" t="s">
        <v>1307</v>
      </c>
      <c r="D336" s="490">
        <f>SUM(D337)</f>
        <v>300819</v>
      </c>
      <c r="E336" s="490">
        <f>SUM(E337)</f>
        <v>164112.58000000002</v>
      </c>
      <c r="F336" s="491">
        <f aca="true" t="shared" si="19" ref="F336:F346">E336/D336*100</f>
        <v>54.55525748041181</v>
      </c>
      <c r="G336" s="485"/>
    </row>
    <row r="337" spans="1:7" s="499" customFormat="1" ht="18.75" customHeight="1">
      <c r="A337" s="494"/>
      <c r="B337" s="495"/>
      <c r="C337" s="496" t="s">
        <v>838</v>
      </c>
      <c r="D337" s="360">
        <f>SUM(D338)</f>
        <v>300819</v>
      </c>
      <c r="E337" s="360">
        <f>SUM(E338)</f>
        <v>164112.58000000002</v>
      </c>
      <c r="F337" s="497">
        <f t="shared" si="19"/>
        <v>54.55525748041181</v>
      </c>
      <c r="G337" s="498"/>
    </row>
    <row r="338" spans="1:7" s="506" customFormat="1" ht="18" customHeight="1">
      <c r="A338" s="500"/>
      <c r="B338" s="501"/>
      <c r="C338" s="502" t="s">
        <v>976</v>
      </c>
      <c r="D338" s="503">
        <f>SUM(D339,D340)</f>
        <v>300819</v>
      </c>
      <c r="E338" s="503">
        <f>SUM(E339,E340)</f>
        <v>164112.58000000002</v>
      </c>
      <c r="F338" s="504">
        <f t="shared" si="19"/>
        <v>54.55525748041181</v>
      </c>
      <c r="G338" s="505"/>
    </row>
    <row r="339" spans="1:7" s="512" customFormat="1" ht="18.75" customHeight="1">
      <c r="A339" s="507"/>
      <c r="B339" s="508"/>
      <c r="C339" s="509" t="s">
        <v>1096</v>
      </c>
      <c r="D339" s="510">
        <v>270953</v>
      </c>
      <c r="E339" s="510">
        <v>149118.98</v>
      </c>
      <c r="F339" s="511">
        <f t="shared" si="19"/>
        <v>55.034998689809676</v>
      </c>
      <c r="G339" s="505"/>
    </row>
    <row r="340" spans="1:7" s="512" customFormat="1" ht="18.75" customHeight="1">
      <c r="A340" s="507"/>
      <c r="B340" s="508"/>
      <c r="C340" s="509" t="s">
        <v>977</v>
      </c>
      <c r="D340" s="510">
        <v>29866</v>
      </c>
      <c r="E340" s="510">
        <v>14993.6</v>
      </c>
      <c r="F340" s="511">
        <f t="shared" si="19"/>
        <v>50.2029063148731</v>
      </c>
      <c r="G340" s="505"/>
    </row>
    <row r="341" spans="1:7" s="493" customFormat="1" ht="81.75" customHeight="1">
      <c r="A341" s="535"/>
      <c r="B341" s="488" t="s">
        <v>1274</v>
      </c>
      <c r="C341" s="489" t="s">
        <v>1275</v>
      </c>
      <c r="D341" s="490">
        <f>SUM(D342)</f>
        <v>1469366</v>
      </c>
      <c r="E341" s="490">
        <f>SUM(E342)</f>
        <v>649430.7899999999</v>
      </c>
      <c r="F341" s="491">
        <f t="shared" si="19"/>
        <v>44.19802758468618</v>
      </c>
      <c r="G341" s="485"/>
    </row>
    <row r="342" spans="1:7" s="499" customFormat="1" ht="18.75" customHeight="1">
      <c r="A342" s="494"/>
      <c r="B342" s="495"/>
      <c r="C342" s="496" t="s">
        <v>838</v>
      </c>
      <c r="D342" s="360">
        <f>SUM(D343,D346)</f>
        <v>1469366</v>
      </c>
      <c r="E342" s="360">
        <f>SUM(E343,E346)</f>
        <v>649430.7899999999</v>
      </c>
      <c r="F342" s="497">
        <f t="shared" si="19"/>
        <v>44.19802758468618</v>
      </c>
      <c r="G342" s="498"/>
    </row>
    <row r="343" spans="1:7" s="506" customFormat="1" ht="18" customHeight="1">
      <c r="A343" s="500"/>
      <c r="B343" s="501"/>
      <c r="C343" s="502" t="s">
        <v>976</v>
      </c>
      <c r="D343" s="503">
        <f>SUM(D344,D345)</f>
        <v>1469066</v>
      </c>
      <c r="E343" s="503">
        <f>SUM(E344,E345)</f>
        <v>649416.33</v>
      </c>
      <c r="F343" s="504">
        <f t="shared" si="19"/>
        <v>44.20606902617037</v>
      </c>
      <c r="G343" s="505"/>
    </row>
    <row r="344" spans="1:7" s="512" customFormat="1" ht="18.75" customHeight="1">
      <c r="A344" s="507"/>
      <c r="B344" s="508"/>
      <c r="C344" s="509" t="s">
        <v>1096</v>
      </c>
      <c r="D344" s="510">
        <v>1332740</v>
      </c>
      <c r="E344" s="510">
        <v>594556.63</v>
      </c>
      <c r="F344" s="511">
        <f t="shared" si="19"/>
        <v>44.611599411738226</v>
      </c>
      <c r="G344" s="505"/>
    </row>
    <row r="345" spans="1:7" s="512" customFormat="1" ht="18.75" customHeight="1">
      <c r="A345" s="507"/>
      <c r="B345" s="508"/>
      <c r="C345" s="509" t="s">
        <v>977</v>
      </c>
      <c r="D345" s="510">
        <v>136326</v>
      </c>
      <c r="E345" s="510">
        <v>54859.7</v>
      </c>
      <c r="F345" s="511">
        <f t="shared" si="19"/>
        <v>40.24155333538723</v>
      </c>
      <c r="G345" s="505"/>
    </row>
    <row r="346" spans="1:7" s="506" customFormat="1" ht="18.75" customHeight="1">
      <c r="A346" s="534"/>
      <c r="B346" s="501"/>
      <c r="C346" s="502" t="s">
        <v>982</v>
      </c>
      <c r="D346" s="503">
        <v>300</v>
      </c>
      <c r="E346" s="503">
        <v>14.46</v>
      </c>
      <c r="F346" s="504">
        <f t="shared" si="19"/>
        <v>4.82</v>
      </c>
      <c r="G346" s="530"/>
    </row>
    <row r="347" spans="1:8" s="540" customFormat="1" ht="18.75" customHeight="1">
      <c r="A347" s="535"/>
      <c r="B347" s="488" t="s">
        <v>1149</v>
      </c>
      <c r="C347" s="531" t="s">
        <v>176</v>
      </c>
      <c r="D347" s="490">
        <f>SUM(D348)</f>
        <v>1640251</v>
      </c>
      <c r="E347" s="490">
        <f>SUM(E348)</f>
        <v>142703.36</v>
      </c>
      <c r="F347" s="491">
        <f t="shared" si="18"/>
        <v>8.700092851642827</v>
      </c>
      <c r="G347" s="505"/>
      <c r="H347" s="506"/>
    </row>
    <row r="348" spans="1:7" s="499" customFormat="1" ht="18.75" customHeight="1">
      <c r="A348" s="494"/>
      <c r="B348" s="495"/>
      <c r="C348" s="496" t="s">
        <v>838</v>
      </c>
      <c r="D348" s="360">
        <f>SUM(D349,D352,D353,D354)</f>
        <v>1640251</v>
      </c>
      <c r="E348" s="360">
        <f>SUM(E349,E352,E353,E354)</f>
        <v>142703.36</v>
      </c>
      <c r="F348" s="497">
        <f t="shared" si="18"/>
        <v>8.700092851642827</v>
      </c>
      <c r="G348" s="498"/>
    </row>
    <row r="349" spans="1:7" s="506" customFormat="1" ht="18" customHeight="1">
      <c r="A349" s="500"/>
      <c r="B349" s="501"/>
      <c r="C349" s="502" t="s">
        <v>976</v>
      </c>
      <c r="D349" s="503">
        <f>SUM(D350,D351)</f>
        <v>1485704</v>
      </c>
      <c r="E349" s="503">
        <f>SUM(E350,E351)</f>
        <v>91938.54</v>
      </c>
      <c r="F349" s="504">
        <f t="shared" si="18"/>
        <v>6.188213803018636</v>
      </c>
      <c r="G349" s="505"/>
    </row>
    <row r="350" spans="1:7" s="512" customFormat="1" ht="18.75" customHeight="1">
      <c r="A350" s="507"/>
      <c r="B350" s="508"/>
      <c r="C350" s="509" t="s">
        <v>1096</v>
      </c>
      <c r="D350" s="510">
        <v>1044431</v>
      </c>
      <c r="E350" s="510">
        <v>0</v>
      </c>
      <c r="F350" s="511">
        <f t="shared" si="18"/>
        <v>0</v>
      </c>
      <c r="G350" s="505"/>
    </row>
    <row r="351" spans="1:7" s="512" customFormat="1" ht="18.75" customHeight="1">
      <c r="A351" s="507"/>
      <c r="B351" s="508"/>
      <c r="C351" s="509" t="s">
        <v>977</v>
      </c>
      <c r="D351" s="510">
        <v>441273</v>
      </c>
      <c r="E351" s="510">
        <v>91938.54</v>
      </c>
      <c r="F351" s="511">
        <f t="shared" si="18"/>
        <v>20.83484373619052</v>
      </c>
      <c r="G351" s="505"/>
    </row>
    <row r="352" spans="1:7" s="506" customFormat="1" ht="18.75" customHeight="1">
      <c r="A352" s="534"/>
      <c r="B352" s="501"/>
      <c r="C352" s="538" t="s">
        <v>982</v>
      </c>
      <c r="D352" s="503">
        <v>82547</v>
      </c>
      <c r="E352" s="503">
        <v>50764.82</v>
      </c>
      <c r="F352" s="504">
        <f aca="true" t="shared" si="20" ref="F352:F400">E352/D352*100</f>
        <v>61.498079881764326</v>
      </c>
      <c r="G352" s="505"/>
    </row>
    <row r="353" spans="1:7" s="506" customFormat="1" ht="18.75" customHeight="1">
      <c r="A353" s="534"/>
      <c r="B353" s="501"/>
      <c r="C353" s="502" t="s">
        <v>978</v>
      </c>
      <c r="D353" s="503">
        <v>50000</v>
      </c>
      <c r="E353" s="503">
        <v>0</v>
      </c>
      <c r="F353" s="504">
        <f>E353/D353*100</f>
        <v>0</v>
      </c>
      <c r="G353" s="505"/>
    </row>
    <row r="354" spans="1:7" s="506" customFormat="1" ht="18.75" customHeight="1">
      <c r="A354" s="534"/>
      <c r="B354" s="501"/>
      <c r="C354" s="502" t="s">
        <v>989</v>
      </c>
      <c r="D354" s="503">
        <v>22000</v>
      </c>
      <c r="E354" s="503">
        <v>0</v>
      </c>
      <c r="F354" s="504">
        <f>E354/D354*100</f>
        <v>0</v>
      </c>
      <c r="G354" s="505"/>
    </row>
    <row r="355" spans="1:7" s="493" customFormat="1" ht="18.75" customHeight="1">
      <c r="A355" s="536" t="s">
        <v>21</v>
      </c>
      <c r="B355" s="481"/>
      <c r="C355" s="533" t="s">
        <v>22</v>
      </c>
      <c r="D355" s="483">
        <f>SUM(D356,D364,D370,D376,D385,D388)</f>
        <v>2412440</v>
      </c>
      <c r="E355" s="483">
        <f>SUM(E356,E364,E370,E376,E385,E388)</f>
        <v>722602.88</v>
      </c>
      <c r="F355" s="484">
        <f t="shared" si="20"/>
        <v>29.953195934406658</v>
      </c>
      <c r="G355" s="485"/>
    </row>
    <row r="356" spans="1:8" s="540" customFormat="1" ht="18.75" customHeight="1">
      <c r="A356" s="535"/>
      <c r="B356" s="488" t="s">
        <v>1155</v>
      </c>
      <c r="C356" s="546" t="s">
        <v>516</v>
      </c>
      <c r="D356" s="547">
        <f>SUM(D357,D362)</f>
        <v>270600</v>
      </c>
      <c r="E356" s="547">
        <f>SUM(E357,E362)</f>
        <v>106590.37</v>
      </c>
      <c r="F356" s="491">
        <f t="shared" si="20"/>
        <v>39.39038063562454</v>
      </c>
      <c r="G356" s="505"/>
      <c r="H356" s="506"/>
    </row>
    <row r="357" spans="1:7" s="499" customFormat="1" ht="18.75" customHeight="1">
      <c r="A357" s="494"/>
      <c r="B357" s="495"/>
      <c r="C357" s="496" t="s">
        <v>838</v>
      </c>
      <c r="D357" s="360">
        <f>SUM(D358,D361)</f>
        <v>270600</v>
      </c>
      <c r="E357" s="360">
        <f>SUM(E358,E361)</f>
        <v>106590.37</v>
      </c>
      <c r="F357" s="497">
        <f t="shared" si="20"/>
        <v>39.39038063562454</v>
      </c>
      <c r="G357" s="498"/>
    </row>
    <row r="358" spans="1:7" s="506" customFormat="1" ht="18" customHeight="1">
      <c r="A358" s="500"/>
      <c r="B358" s="501"/>
      <c r="C358" s="502" t="s">
        <v>976</v>
      </c>
      <c r="D358" s="503">
        <f>SUM(D359,D360)</f>
        <v>162600</v>
      </c>
      <c r="E358" s="503">
        <f>SUM(E359,E360)</f>
        <v>0</v>
      </c>
      <c r="F358" s="504">
        <f t="shared" si="20"/>
        <v>0</v>
      </c>
      <c r="G358" s="505"/>
    </row>
    <row r="359" spans="1:7" s="512" customFormat="1" ht="18.75" customHeight="1" hidden="1">
      <c r="A359" s="507"/>
      <c r="B359" s="508"/>
      <c r="C359" s="509" t="s">
        <v>1096</v>
      </c>
      <c r="D359" s="510">
        <v>0</v>
      </c>
      <c r="E359" s="510">
        <v>0</v>
      </c>
      <c r="F359" s="511" t="e">
        <f t="shared" si="20"/>
        <v>#DIV/0!</v>
      </c>
      <c r="G359" s="505"/>
    </row>
    <row r="360" spans="1:7" s="512" customFormat="1" ht="18.75" customHeight="1">
      <c r="A360" s="507"/>
      <c r="B360" s="508"/>
      <c r="C360" s="509" t="s">
        <v>977</v>
      </c>
      <c r="D360" s="510">
        <v>162600</v>
      </c>
      <c r="E360" s="510">
        <v>0</v>
      </c>
      <c r="F360" s="511">
        <f t="shared" si="20"/>
        <v>0</v>
      </c>
      <c r="G360" s="505"/>
    </row>
    <row r="361" spans="1:7" s="506" customFormat="1" ht="18.75" customHeight="1">
      <c r="A361" s="534"/>
      <c r="B361" s="501"/>
      <c r="C361" s="502" t="s">
        <v>978</v>
      </c>
      <c r="D361" s="503">
        <v>108000</v>
      </c>
      <c r="E361" s="503">
        <v>106590.37</v>
      </c>
      <c r="F361" s="504">
        <f t="shared" si="20"/>
        <v>98.69478703703703</v>
      </c>
      <c r="G361" s="530"/>
    </row>
    <row r="362" spans="1:7" s="499" customFormat="1" ht="18.75" customHeight="1" hidden="1">
      <c r="A362" s="494"/>
      <c r="B362" s="495"/>
      <c r="C362" s="496" t="s">
        <v>979</v>
      </c>
      <c r="D362" s="360">
        <f>SUM(D363)</f>
        <v>0</v>
      </c>
      <c r="E362" s="360">
        <f>SUM(E363)</f>
        <v>0</v>
      </c>
      <c r="F362" s="497" t="e">
        <f>E362/D362*100</f>
        <v>#DIV/0!</v>
      </c>
      <c r="G362" s="498"/>
    </row>
    <row r="363" spans="1:7" s="506" customFormat="1" ht="27" customHeight="1" hidden="1">
      <c r="A363" s="500"/>
      <c r="B363" s="501"/>
      <c r="C363" s="502" t="s">
        <v>251</v>
      </c>
      <c r="D363" s="503">
        <v>0</v>
      </c>
      <c r="E363" s="503">
        <v>0</v>
      </c>
      <c r="F363" s="504" t="e">
        <f>E363/D363*100</f>
        <v>#DIV/0!</v>
      </c>
      <c r="G363" s="505"/>
    </row>
    <row r="364" spans="1:7" s="493" customFormat="1" ht="18.75" customHeight="1">
      <c r="A364" s="535"/>
      <c r="B364" s="488" t="s">
        <v>517</v>
      </c>
      <c r="C364" s="489" t="s">
        <v>518</v>
      </c>
      <c r="D364" s="490">
        <f>SUM(D365)</f>
        <v>10000</v>
      </c>
      <c r="E364" s="490">
        <f>SUM(E365)</f>
        <v>0</v>
      </c>
      <c r="F364" s="504">
        <f t="shared" si="20"/>
        <v>0</v>
      </c>
      <c r="G364" s="485"/>
    </row>
    <row r="365" spans="1:7" s="499" customFormat="1" ht="18.75" customHeight="1">
      <c r="A365" s="494"/>
      <c r="B365" s="495"/>
      <c r="C365" s="496" t="s">
        <v>838</v>
      </c>
      <c r="D365" s="360">
        <f>SUM(D369)</f>
        <v>10000</v>
      </c>
      <c r="E365" s="360">
        <f>SUM(E369)</f>
        <v>0</v>
      </c>
      <c r="F365" s="497">
        <f t="shared" si="20"/>
        <v>0</v>
      </c>
      <c r="G365" s="498"/>
    </row>
    <row r="366" spans="1:7" s="506" customFormat="1" ht="18" customHeight="1" hidden="1">
      <c r="A366" s="500"/>
      <c r="B366" s="501"/>
      <c r="C366" s="502" t="s">
        <v>976</v>
      </c>
      <c r="D366" s="503">
        <f>SUM(D367,D368)</f>
        <v>0</v>
      </c>
      <c r="E366" s="503">
        <f>SUM(E367,E368)</f>
        <v>0</v>
      </c>
      <c r="F366" s="504" t="e">
        <f t="shared" si="20"/>
        <v>#DIV/0!</v>
      </c>
      <c r="G366" s="505"/>
    </row>
    <row r="367" spans="1:7" s="512" customFormat="1" ht="18.75" customHeight="1" hidden="1">
      <c r="A367" s="507"/>
      <c r="B367" s="508"/>
      <c r="C367" s="509" t="s">
        <v>1096</v>
      </c>
      <c r="D367" s="510">
        <v>0</v>
      </c>
      <c r="E367" s="510">
        <v>0</v>
      </c>
      <c r="F367" s="511" t="e">
        <f t="shared" si="20"/>
        <v>#DIV/0!</v>
      </c>
      <c r="G367" s="505"/>
    </row>
    <row r="368" spans="1:7" s="512" customFormat="1" ht="18.75" customHeight="1" hidden="1">
      <c r="A368" s="507"/>
      <c r="B368" s="508"/>
      <c r="C368" s="509" t="s">
        <v>977</v>
      </c>
      <c r="D368" s="510">
        <v>0</v>
      </c>
      <c r="E368" s="510">
        <v>0</v>
      </c>
      <c r="F368" s="511" t="e">
        <f t="shared" si="20"/>
        <v>#DIV/0!</v>
      </c>
      <c r="G368" s="505"/>
    </row>
    <row r="369" spans="1:7" s="512" customFormat="1" ht="18.75" customHeight="1">
      <c r="A369" s="539"/>
      <c r="B369" s="508"/>
      <c r="C369" s="502" t="s">
        <v>978</v>
      </c>
      <c r="D369" s="503">
        <v>10000</v>
      </c>
      <c r="E369" s="503">
        <v>0</v>
      </c>
      <c r="F369" s="504">
        <f aca="true" t="shared" si="21" ref="F369:F375">E369/D369*100</f>
        <v>0</v>
      </c>
      <c r="G369" s="505"/>
    </row>
    <row r="370" spans="1:8" s="540" customFormat="1" ht="18.75" customHeight="1">
      <c r="A370" s="535"/>
      <c r="B370" s="488" t="s">
        <v>519</v>
      </c>
      <c r="C370" s="531" t="s">
        <v>520</v>
      </c>
      <c r="D370" s="490">
        <f>SUM(D371)</f>
        <v>39652</v>
      </c>
      <c r="E370" s="490">
        <f>SUM(E371)</f>
        <v>8444.2</v>
      </c>
      <c r="F370" s="491">
        <f t="shared" si="21"/>
        <v>21.29577322707556</v>
      </c>
      <c r="G370" s="505"/>
      <c r="H370" s="506"/>
    </row>
    <row r="371" spans="1:7" s="499" customFormat="1" ht="18.75" customHeight="1">
      <c r="A371" s="494"/>
      <c r="B371" s="495"/>
      <c r="C371" s="496" t="s">
        <v>838</v>
      </c>
      <c r="D371" s="360">
        <f>SUM(D372,D375)</f>
        <v>39652</v>
      </c>
      <c r="E371" s="360">
        <f>SUM(E372,E375)</f>
        <v>8444.2</v>
      </c>
      <c r="F371" s="497">
        <f t="shared" si="21"/>
        <v>21.29577322707556</v>
      </c>
      <c r="G371" s="498"/>
    </row>
    <row r="372" spans="1:7" s="506" customFormat="1" ht="18" customHeight="1">
      <c r="A372" s="500"/>
      <c r="B372" s="501"/>
      <c r="C372" s="502" t="s">
        <v>976</v>
      </c>
      <c r="D372" s="503">
        <f>SUM(D373:D374)</f>
        <v>15600</v>
      </c>
      <c r="E372" s="503">
        <f>SUM(E373:E374)</f>
        <v>3158.2</v>
      </c>
      <c r="F372" s="504">
        <f t="shared" si="21"/>
        <v>20.244871794871795</v>
      </c>
      <c r="G372" s="505"/>
    </row>
    <row r="373" spans="1:7" s="512" customFormat="1" ht="18.75" customHeight="1">
      <c r="A373" s="507"/>
      <c r="B373" s="508"/>
      <c r="C373" s="509" t="s">
        <v>977</v>
      </c>
      <c r="D373" s="510">
        <v>6600</v>
      </c>
      <c r="E373" s="510">
        <v>1800</v>
      </c>
      <c r="F373" s="511">
        <f t="shared" si="21"/>
        <v>27.27272727272727</v>
      </c>
      <c r="G373" s="505"/>
    </row>
    <row r="374" spans="1:7" s="512" customFormat="1" ht="18.75" customHeight="1">
      <c r="A374" s="507"/>
      <c r="B374" s="508"/>
      <c r="C374" s="509" t="s">
        <v>1096</v>
      </c>
      <c r="D374" s="510">
        <v>9000</v>
      </c>
      <c r="E374" s="510">
        <v>1358.2</v>
      </c>
      <c r="F374" s="511">
        <f>E374/D374*100</f>
        <v>15.091111111111111</v>
      </c>
      <c r="G374" s="505"/>
    </row>
    <row r="375" spans="1:7" s="506" customFormat="1" ht="18.75" customHeight="1">
      <c r="A375" s="534"/>
      <c r="B375" s="501"/>
      <c r="C375" s="548" t="s">
        <v>978</v>
      </c>
      <c r="D375" s="503">
        <v>24052</v>
      </c>
      <c r="E375" s="503">
        <v>5286</v>
      </c>
      <c r="F375" s="504">
        <f t="shared" si="21"/>
        <v>21.977382338267088</v>
      </c>
      <c r="G375" s="505"/>
    </row>
    <row r="376" spans="1:8" s="540" customFormat="1" ht="18.75" customHeight="1">
      <c r="A376" s="535"/>
      <c r="B376" s="488" t="s">
        <v>23</v>
      </c>
      <c r="C376" s="531" t="s">
        <v>24</v>
      </c>
      <c r="D376" s="490">
        <f>SUM(D377,D382)</f>
        <v>2003600</v>
      </c>
      <c r="E376" s="490">
        <f>SUM(E377,E382)</f>
        <v>586348.54</v>
      </c>
      <c r="F376" s="491">
        <f t="shared" si="20"/>
        <v>29.264750449191457</v>
      </c>
      <c r="G376" s="505"/>
      <c r="H376" s="506"/>
    </row>
    <row r="377" spans="1:7" s="499" customFormat="1" ht="18.75" customHeight="1">
      <c r="A377" s="494"/>
      <c r="B377" s="495"/>
      <c r="C377" s="496" t="s">
        <v>838</v>
      </c>
      <c r="D377" s="360">
        <f>SUM(D378,D381)</f>
        <v>1292542</v>
      </c>
      <c r="E377" s="360">
        <f>SUM(E378,E381)</f>
        <v>553261.54</v>
      </c>
      <c r="F377" s="497">
        <f t="shared" si="20"/>
        <v>42.804144081971806</v>
      </c>
      <c r="G377" s="498"/>
    </row>
    <row r="378" spans="1:7" s="506" customFormat="1" ht="18" customHeight="1">
      <c r="A378" s="500"/>
      <c r="B378" s="501"/>
      <c r="C378" s="502" t="s">
        <v>976</v>
      </c>
      <c r="D378" s="503">
        <f>SUM(D379,D380)</f>
        <v>510142</v>
      </c>
      <c r="E378" s="503">
        <f>SUM(E379,E380)</f>
        <v>206686.54</v>
      </c>
      <c r="F378" s="504">
        <f t="shared" si="20"/>
        <v>40.51549176503797</v>
      </c>
      <c r="G378" s="505"/>
    </row>
    <row r="379" spans="1:7" s="512" customFormat="1" ht="18.75" customHeight="1">
      <c r="A379" s="507"/>
      <c r="B379" s="508"/>
      <c r="C379" s="509" t="s">
        <v>1096</v>
      </c>
      <c r="D379" s="510">
        <v>334300</v>
      </c>
      <c r="E379" s="510">
        <v>156112.23</v>
      </c>
      <c r="F379" s="511">
        <f t="shared" si="20"/>
        <v>46.69824409213282</v>
      </c>
      <c r="G379" s="505"/>
    </row>
    <row r="380" spans="1:7" s="512" customFormat="1" ht="18.75" customHeight="1">
      <c r="A380" s="507"/>
      <c r="B380" s="508"/>
      <c r="C380" s="509" t="s">
        <v>977</v>
      </c>
      <c r="D380" s="510">
        <v>175842</v>
      </c>
      <c r="E380" s="510">
        <v>50574.31</v>
      </c>
      <c r="F380" s="511">
        <f t="shared" si="20"/>
        <v>28.761223143503827</v>
      </c>
      <c r="G380" s="505"/>
    </row>
    <row r="381" spans="1:7" s="506" customFormat="1" ht="18.75" customHeight="1">
      <c r="A381" s="534"/>
      <c r="B381" s="501"/>
      <c r="C381" s="548" t="s">
        <v>978</v>
      </c>
      <c r="D381" s="503">
        <v>782400</v>
      </c>
      <c r="E381" s="503">
        <v>346575</v>
      </c>
      <c r="F381" s="504">
        <f t="shared" si="20"/>
        <v>44.296395705521476</v>
      </c>
      <c r="G381" s="505"/>
    </row>
    <row r="382" spans="1:7" s="499" customFormat="1" ht="18.75" customHeight="1">
      <c r="A382" s="494"/>
      <c r="B382" s="495"/>
      <c r="C382" s="496" t="s">
        <v>979</v>
      </c>
      <c r="D382" s="360">
        <f>SUM(D383,D384)</f>
        <v>711058</v>
      </c>
      <c r="E382" s="360">
        <f>SUM(E383,E384)</f>
        <v>33087</v>
      </c>
      <c r="F382" s="497">
        <f t="shared" si="20"/>
        <v>4.6532069113911945</v>
      </c>
      <c r="G382" s="498"/>
    </row>
    <row r="383" spans="1:7" s="506" customFormat="1" ht="27" customHeight="1">
      <c r="A383" s="500"/>
      <c r="B383" s="501"/>
      <c r="C383" s="502" t="s">
        <v>251</v>
      </c>
      <c r="D383" s="503">
        <v>711058</v>
      </c>
      <c r="E383" s="503">
        <v>33087</v>
      </c>
      <c r="F383" s="504">
        <f t="shared" si="20"/>
        <v>4.6532069113911945</v>
      </c>
      <c r="G383" s="505"/>
    </row>
    <row r="384" spans="1:7" s="506" customFormat="1" ht="18.75" customHeight="1" hidden="1">
      <c r="A384" s="500"/>
      <c r="B384" s="501"/>
      <c r="C384" s="502" t="s">
        <v>989</v>
      </c>
      <c r="D384" s="503">
        <v>0</v>
      </c>
      <c r="E384" s="503">
        <v>0</v>
      </c>
      <c r="F384" s="504" t="e">
        <f>E384/D384*100</f>
        <v>#DIV/0!</v>
      </c>
      <c r="G384" s="530"/>
    </row>
    <row r="385" spans="1:7" s="493" customFormat="1" ht="45.75" customHeight="1" hidden="1">
      <c r="A385" s="535"/>
      <c r="B385" s="488" t="s">
        <v>810</v>
      </c>
      <c r="C385" s="489" t="s">
        <v>1075</v>
      </c>
      <c r="D385" s="490">
        <f>SUM(D386)</f>
        <v>0</v>
      </c>
      <c r="E385" s="490">
        <f>SUM(E386)</f>
        <v>0</v>
      </c>
      <c r="F385" s="491" t="e">
        <f>E385/D385*100</f>
        <v>#DIV/0!</v>
      </c>
      <c r="G385" s="485"/>
    </row>
    <row r="386" spans="1:7" s="499" customFormat="1" ht="18.75" customHeight="1" hidden="1">
      <c r="A386" s="494"/>
      <c r="B386" s="495"/>
      <c r="C386" s="496" t="s">
        <v>838</v>
      </c>
      <c r="D386" s="360">
        <f>SUM(D387)</f>
        <v>0</v>
      </c>
      <c r="E386" s="360">
        <f>SUM(E387)</f>
        <v>0</v>
      </c>
      <c r="F386" s="497" t="e">
        <f>E386/D386*100</f>
        <v>#DIV/0!</v>
      </c>
      <c r="G386" s="498"/>
    </row>
    <row r="387" spans="1:7" s="506" customFormat="1" ht="18.75" customHeight="1" hidden="1">
      <c r="A387" s="534"/>
      <c r="B387" s="501"/>
      <c r="C387" s="548" t="s">
        <v>978</v>
      </c>
      <c r="D387" s="503">
        <v>0</v>
      </c>
      <c r="E387" s="503">
        <v>0</v>
      </c>
      <c r="F387" s="504" t="e">
        <f>E387/D387*100</f>
        <v>#DIV/0!</v>
      </c>
      <c r="G387" s="505"/>
    </row>
    <row r="388" spans="1:7" s="506" customFormat="1" ht="18.75" customHeight="1">
      <c r="A388" s="535"/>
      <c r="B388" s="488" t="s">
        <v>521</v>
      </c>
      <c r="C388" s="531" t="s">
        <v>176</v>
      </c>
      <c r="D388" s="490">
        <f>SUM(D389,D394)</f>
        <v>88588</v>
      </c>
      <c r="E388" s="490">
        <f>SUM(E389,E394)</f>
        <v>21219.77</v>
      </c>
      <c r="F388" s="491">
        <f t="shared" si="20"/>
        <v>23.953323249198537</v>
      </c>
      <c r="G388" s="505"/>
    </row>
    <row r="389" spans="1:7" s="499" customFormat="1" ht="18.75" customHeight="1">
      <c r="A389" s="494"/>
      <c r="B389" s="495"/>
      <c r="C389" s="496" t="s">
        <v>838</v>
      </c>
      <c r="D389" s="360">
        <f>SUM(D390,D393)</f>
        <v>88588</v>
      </c>
      <c r="E389" s="360">
        <f>SUM(E390,E393)</f>
        <v>21219.77</v>
      </c>
      <c r="F389" s="497">
        <f t="shared" si="20"/>
        <v>23.953323249198537</v>
      </c>
      <c r="G389" s="498"/>
    </row>
    <row r="390" spans="1:7" s="506" customFormat="1" ht="18" customHeight="1">
      <c r="A390" s="500"/>
      <c r="B390" s="501"/>
      <c r="C390" s="502" t="s">
        <v>976</v>
      </c>
      <c r="D390" s="503">
        <f>SUM(D391,D392)</f>
        <v>70588</v>
      </c>
      <c r="E390" s="503">
        <f>SUM(E391,E392)</f>
        <v>12219.77</v>
      </c>
      <c r="F390" s="504">
        <f t="shared" si="20"/>
        <v>17.311398537995125</v>
      </c>
      <c r="G390" s="505"/>
    </row>
    <row r="391" spans="1:7" s="512" customFormat="1" ht="18.75" customHeight="1">
      <c r="A391" s="507"/>
      <c r="B391" s="508"/>
      <c r="C391" s="509" t="s">
        <v>1096</v>
      </c>
      <c r="D391" s="510">
        <v>9510</v>
      </c>
      <c r="E391" s="510">
        <v>4939.81</v>
      </c>
      <c r="F391" s="511">
        <f t="shared" si="20"/>
        <v>51.94332281808622</v>
      </c>
      <c r="G391" s="505"/>
    </row>
    <row r="392" spans="1:7" s="512" customFormat="1" ht="18.75" customHeight="1">
      <c r="A392" s="507"/>
      <c r="B392" s="508"/>
      <c r="C392" s="509" t="s">
        <v>977</v>
      </c>
      <c r="D392" s="510">
        <v>61078</v>
      </c>
      <c r="E392" s="510">
        <v>7279.96</v>
      </c>
      <c r="F392" s="511">
        <f t="shared" si="20"/>
        <v>11.919119814008319</v>
      </c>
      <c r="G392" s="505"/>
    </row>
    <row r="393" spans="1:7" s="506" customFormat="1" ht="18.75" customHeight="1">
      <c r="A393" s="534"/>
      <c r="B393" s="501"/>
      <c r="C393" s="548" t="s">
        <v>978</v>
      </c>
      <c r="D393" s="503">
        <v>18000</v>
      </c>
      <c r="E393" s="503">
        <v>9000</v>
      </c>
      <c r="F393" s="504">
        <f t="shared" si="20"/>
        <v>50</v>
      </c>
      <c r="G393" s="505"/>
    </row>
    <row r="394" spans="1:7" s="499" customFormat="1" ht="18.75" customHeight="1" hidden="1">
      <c r="A394" s="494"/>
      <c r="B394" s="495"/>
      <c r="C394" s="496" t="s">
        <v>979</v>
      </c>
      <c r="D394" s="360">
        <f>SUM(D395)</f>
        <v>0</v>
      </c>
      <c r="E394" s="360">
        <f>SUM(E395)</f>
        <v>0</v>
      </c>
      <c r="F394" s="497" t="e">
        <f>E394/D394*100</f>
        <v>#DIV/0!</v>
      </c>
      <c r="G394" s="498"/>
    </row>
    <row r="395" spans="1:7" s="506" customFormat="1" ht="27" customHeight="1" hidden="1">
      <c r="A395" s="500"/>
      <c r="B395" s="501"/>
      <c r="C395" s="502" t="s">
        <v>251</v>
      </c>
      <c r="D395" s="503">
        <v>0</v>
      </c>
      <c r="E395" s="503">
        <v>0</v>
      </c>
      <c r="F395" s="504" t="e">
        <f>E395/D395*100</f>
        <v>#DIV/0!</v>
      </c>
      <c r="G395" s="505"/>
    </row>
    <row r="396" spans="1:8" s="540" customFormat="1" ht="18.75" customHeight="1">
      <c r="A396" s="536" t="s">
        <v>440</v>
      </c>
      <c r="B396" s="481"/>
      <c r="C396" s="533" t="s">
        <v>522</v>
      </c>
      <c r="D396" s="483">
        <f>SUM(D397,D403,D407,D414,D420,D426,D432,D439,D444,D475,D452,D457,D461,D469,D479,D482)</f>
        <v>9818910.41</v>
      </c>
      <c r="E396" s="483">
        <f>SUM(E397,E403,E407,E414,E420,E426,E432,E439,E444,E475,E452,E457,E461,E469,E479,E482)</f>
        <v>4886214.52</v>
      </c>
      <c r="F396" s="484">
        <f t="shared" si="20"/>
        <v>49.763306884068</v>
      </c>
      <c r="G396" s="505"/>
      <c r="H396" s="506"/>
    </row>
    <row r="397" spans="1:7" s="493" customFormat="1" ht="18.75" customHeight="1" hidden="1">
      <c r="A397" s="535"/>
      <c r="B397" s="488" t="s">
        <v>441</v>
      </c>
      <c r="C397" s="531" t="s">
        <v>523</v>
      </c>
      <c r="D397" s="490">
        <f>SUM(D398,D401)</f>
        <v>0</v>
      </c>
      <c r="E397" s="490">
        <f>SUM(E398,E401)</f>
        <v>0</v>
      </c>
      <c r="F397" s="491" t="e">
        <f t="shared" si="20"/>
        <v>#DIV/0!</v>
      </c>
      <c r="G397" s="485"/>
    </row>
    <row r="398" spans="1:7" s="499" customFormat="1" ht="18.75" customHeight="1" hidden="1">
      <c r="A398" s="494"/>
      <c r="B398" s="495"/>
      <c r="C398" s="496" t="s">
        <v>838</v>
      </c>
      <c r="D398" s="360">
        <f>SUM(D399)</f>
        <v>0</v>
      </c>
      <c r="E398" s="360">
        <f>SUM(E399)</f>
        <v>0</v>
      </c>
      <c r="F398" s="497" t="e">
        <f t="shared" si="20"/>
        <v>#DIV/0!</v>
      </c>
      <c r="G398" s="498"/>
    </row>
    <row r="399" spans="1:7" s="506" customFormat="1" ht="18" customHeight="1" hidden="1">
      <c r="A399" s="500"/>
      <c r="B399" s="501"/>
      <c r="C399" s="502" t="s">
        <v>976</v>
      </c>
      <c r="D399" s="503">
        <f>SUM(D400)</f>
        <v>0</v>
      </c>
      <c r="E399" s="503">
        <f>SUM(E400)</f>
        <v>0</v>
      </c>
      <c r="F399" s="504" t="e">
        <f t="shared" si="20"/>
        <v>#DIV/0!</v>
      </c>
      <c r="G399" s="505"/>
    </row>
    <row r="400" spans="1:7" s="512" customFormat="1" ht="18.75" customHeight="1" hidden="1">
      <c r="A400" s="507"/>
      <c r="B400" s="508"/>
      <c r="C400" s="509" t="s">
        <v>977</v>
      </c>
      <c r="D400" s="510">
        <v>0</v>
      </c>
      <c r="E400" s="510">
        <v>0</v>
      </c>
      <c r="F400" s="511" t="e">
        <f t="shared" si="20"/>
        <v>#DIV/0!</v>
      </c>
      <c r="G400" s="505"/>
    </row>
    <row r="401" spans="1:7" s="512" customFormat="1" ht="18.75" customHeight="1" hidden="1">
      <c r="A401" s="539"/>
      <c r="B401" s="508"/>
      <c r="C401" s="496" t="s">
        <v>979</v>
      </c>
      <c r="D401" s="360">
        <f>SUM(D402)</f>
        <v>0</v>
      </c>
      <c r="E401" s="360">
        <f>SUM(E402)</f>
        <v>0</v>
      </c>
      <c r="F401" s="497" t="e">
        <f>E401/D401*100</f>
        <v>#DIV/0!</v>
      </c>
      <c r="G401" s="505"/>
    </row>
    <row r="402" spans="1:7" s="512" customFormat="1" ht="26.25" customHeight="1" hidden="1">
      <c r="A402" s="539"/>
      <c r="B402" s="508"/>
      <c r="C402" s="502" t="s">
        <v>251</v>
      </c>
      <c r="D402" s="503">
        <v>0</v>
      </c>
      <c r="E402" s="503">
        <v>0</v>
      </c>
      <c r="F402" s="504" t="e">
        <f>E402/D402*100</f>
        <v>#DIV/0!</v>
      </c>
      <c r="G402" s="505"/>
    </row>
    <row r="403" spans="1:8" s="540" customFormat="1" ht="18.75" customHeight="1">
      <c r="A403" s="535"/>
      <c r="B403" s="488" t="s">
        <v>524</v>
      </c>
      <c r="C403" s="489" t="s">
        <v>525</v>
      </c>
      <c r="D403" s="490">
        <f>SUM(D406)</f>
        <v>1350352</v>
      </c>
      <c r="E403" s="490">
        <f>SUM(E406)</f>
        <v>599950.53</v>
      </c>
      <c r="F403" s="504">
        <f aca="true" t="shared" si="22" ref="F403:F457">E403/D403*100</f>
        <v>44.42919549865517</v>
      </c>
      <c r="G403" s="505"/>
      <c r="H403" s="506"/>
    </row>
    <row r="404" spans="1:7" s="499" customFormat="1" ht="18.75" customHeight="1">
      <c r="A404" s="494"/>
      <c r="B404" s="495"/>
      <c r="C404" s="496" t="s">
        <v>838</v>
      </c>
      <c r="D404" s="360">
        <f>SUM(D405)</f>
        <v>1350352</v>
      </c>
      <c r="E404" s="360">
        <f>SUM(E405)</f>
        <v>599950.53</v>
      </c>
      <c r="F404" s="497">
        <f t="shared" si="22"/>
        <v>44.42919549865517</v>
      </c>
      <c r="G404" s="498"/>
    </row>
    <row r="405" spans="1:7" s="506" customFormat="1" ht="18" customHeight="1">
      <c r="A405" s="500"/>
      <c r="B405" s="501"/>
      <c r="C405" s="502" t="s">
        <v>976</v>
      </c>
      <c r="D405" s="503">
        <f>SUM(D406)</f>
        <v>1350352</v>
      </c>
      <c r="E405" s="503">
        <f>SUM(E406)</f>
        <v>599950.53</v>
      </c>
      <c r="F405" s="504">
        <f t="shared" si="22"/>
        <v>44.42919549865517</v>
      </c>
      <c r="G405" s="505"/>
    </row>
    <row r="406" spans="1:7" s="512" customFormat="1" ht="18.75" customHeight="1">
      <c r="A406" s="507"/>
      <c r="B406" s="508"/>
      <c r="C406" s="509" t="s">
        <v>977</v>
      </c>
      <c r="D406" s="510">
        <v>1350352</v>
      </c>
      <c r="E406" s="510">
        <v>599950.53</v>
      </c>
      <c r="F406" s="511">
        <f t="shared" si="22"/>
        <v>44.42919549865517</v>
      </c>
      <c r="G406" s="505"/>
    </row>
    <row r="407" spans="1:7" s="506" customFormat="1" ht="18.75" customHeight="1">
      <c r="A407" s="535"/>
      <c r="B407" s="488" t="s">
        <v>452</v>
      </c>
      <c r="C407" s="531" t="s">
        <v>319</v>
      </c>
      <c r="D407" s="490">
        <f>SUM(D408,D412)</f>
        <v>289104</v>
      </c>
      <c r="E407" s="490">
        <f>SUM(E408,E412)</f>
        <v>134408</v>
      </c>
      <c r="F407" s="491">
        <f t="shared" si="22"/>
        <v>46.49122807017544</v>
      </c>
      <c r="G407" s="505"/>
    </row>
    <row r="408" spans="1:7" s="499" customFormat="1" ht="18.75" customHeight="1">
      <c r="A408" s="494"/>
      <c r="B408" s="495"/>
      <c r="C408" s="496" t="s">
        <v>838</v>
      </c>
      <c r="D408" s="360">
        <f>SUM(D409,D411)</f>
        <v>289104</v>
      </c>
      <c r="E408" s="360">
        <f>SUM(E409,E411)</f>
        <v>134408</v>
      </c>
      <c r="F408" s="497">
        <f t="shared" si="22"/>
        <v>46.49122807017544</v>
      </c>
      <c r="G408" s="498"/>
    </row>
    <row r="409" spans="1:7" s="506" customFormat="1" ht="18" customHeight="1" hidden="1">
      <c r="A409" s="500"/>
      <c r="B409" s="501"/>
      <c r="C409" s="502" t="s">
        <v>976</v>
      </c>
      <c r="D409" s="503">
        <f>SUM(D410)</f>
        <v>0</v>
      </c>
      <c r="E409" s="503">
        <f>SUM(E410)</f>
        <v>0</v>
      </c>
      <c r="F409" s="504" t="e">
        <f t="shared" si="22"/>
        <v>#DIV/0!</v>
      </c>
      <c r="G409" s="505"/>
    </row>
    <row r="410" spans="1:7" s="512" customFormat="1" ht="18.75" customHeight="1" hidden="1">
      <c r="A410" s="507"/>
      <c r="B410" s="508"/>
      <c r="C410" s="509" t="s">
        <v>977</v>
      </c>
      <c r="D410" s="510">
        <v>0</v>
      </c>
      <c r="E410" s="510">
        <v>0</v>
      </c>
      <c r="F410" s="511" t="e">
        <f t="shared" si="22"/>
        <v>#DIV/0!</v>
      </c>
      <c r="G410" s="505"/>
    </row>
    <row r="411" spans="1:7" s="506" customFormat="1" ht="18.75" customHeight="1">
      <c r="A411" s="534"/>
      <c r="B411" s="501"/>
      <c r="C411" s="548" t="s">
        <v>978</v>
      </c>
      <c r="D411" s="503">
        <v>289104</v>
      </c>
      <c r="E411" s="503">
        <v>134408</v>
      </c>
      <c r="F411" s="504">
        <f t="shared" si="22"/>
        <v>46.49122807017544</v>
      </c>
      <c r="G411" s="505"/>
    </row>
    <row r="412" spans="1:7" s="512" customFormat="1" ht="18.75" customHeight="1" hidden="1">
      <c r="A412" s="539"/>
      <c r="B412" s="508"/>
      <c r="C412" s="496" t="s">
        <v>979</v>
      </c>
      <c r="D412" s="360">
        <f>SUM(D413)</f>
        <v>0</v>
      </c>
      <c r="E412" s="360">
        <f>SUM(E413)</f>
        <v>0</v>
      </c>
      <c r="F412" s="497" t="e">
        <f>E412/D412*100</f>
        <v>#DIV/0!</v>
      </c>
      <c r="G412" s="505"/>
    </row>
    <row r="413" spans="1:7" s="512" customFormat="1" ht="26.25" customHeight="1" hidden="1">
      <c r="A413" s="539"/>
      <c r="B413" s="508"/>
      <c r="C413" s="502" t="s">
        <v>251</v>
      </c>
      <c r="D413" s="503">
        <v>0</v>
      </c>
      <c r="E413" s="503">
        <v>0</v>
      </c>
      <c r="F413" s="504" t="e">
        <f>E413/D413*100</f>
        <v>#DIV/0!</v>
      </c>
      <c r="G413" s="505"/>
    </row>
    <row r="414" spans="1:7" s="493" customFormat="1" ht="29.25" customHeight="1">
      <c r="A414" s="535"/>
      <c r="B414" s="488" t="s">
        <v>416</v>
      </c>
      <c r="C414" s="549" t="s">
        <v>987</v>
      </c>
      <c r="D414" s="490">
        <f>SUM(D415)</f>
        <v>19500</v>
      </c>
      <c r="E414" s="490">
        <f>SUM(E415)</f>
        <v>96</v>
      </c>
      <c r="F414" s="491">
        <f t="shared" si="22"/>
        <v>0.49230769230769234</v>
      </c>
      <c r="G414" s="485"/>
    </row>
    <row r="415" spans="1:7" s="499" customFormat="1" ht="18.75" customHeight="1">
      <c r="A415" s="494"/>
      <c r="B415" s="495"/>
      <c r="C415" s="496" t="s">
        <v>838</v>
      </c>
      <c r="D415" s="360">
        <f>SUM(D416,D419)</f>
        <v>19500</v>
      </c>
      <c r="E415" s="360">
        <f>SUM(E416,E419)</f>
        <v>96</v>
      </c>
      <c r="F415" s="497">
        <f aca="true" t="shared" si="23" ref="F415:F423">E415/D415*100</f>
        <v>0.49230769230769234</v>
      </c>
      <c r="G415" s="498"/>
    </row>
    <row r="416" spans="1:7" s="506" customFormat="1" ht="18" customHeight="1">
      <c r="A416" s="500"/>
      <c r="B416" s="501"/>
      <c r="C416" s="502" t="s">
        <v>976</v>
      </c>
      <c r="D416" s="503">
        <f>SUM(D417,D418)</f>
        <v>16500</v>
      </c>
      <c r="E416" s="503">
        <f>SUM(E417,E418)</f>
        <v>96</v>
      </c>
      <c r="F416" s="504">
        <f t="shared" si="23"/>
        <v>0.5818181818181818</v>
      </c>
      <c r="G416" s="505"/>
    </row>
    <row r="417" spans="1:7" s="512" customFormat="1" ht="18.75" customHeight="1">
      <c r="A417" s="507"/>
      <c r="B417" s="508"/>
      <c r="C417" s="509" t="s">
        <v>1096</v>
      </c>
      <c r="D417" s="510">
        <v>6000</v>
      </c>
      <c r="E417" s="510">
        <v>0</v>
      </c>
      <c r="F417" s="511">
        <f t="shared" si="23"/>
        <v>0</v>
      </c>
      <c r="G417" s="505"/>
    </row>
    <row r="418" spans="1:7" s="512" customFormat="1" ht="18.75" customHeight="1">
      <c r="A418" s="507"/>
      <c r="B418" s="508"/>
      <c r="C418" s="509" t="s">
        <v>977</v>
      </c>
      <c r="D418" s="510">
        <v>10500</v>
      </c>
      <c r="E418" s="510">
        <v>96</v>
      </c>
      <c r="F418" s="511">
        <f t="shared" si="23"/>
        <v>0.9142857142857144</v>
      </c>
      <c r="G418" s="505"/>
    </row>
    <row r="419" spans="1:7" s="512" customFormat="1" ht="18.75" customHeight="1">
      <c r="A419" s="539"/>
      <c r="B419" s="508"/>
      <c r="C419" s="548" t="s">
        <v>978</v>
      </c>
      <c r="D419" s="503">
        <v>3000</v>
      </c>
      <c r="E419" s="503">
        <v>0</v>
      </c>
      <c r="F419" s="504">
        <f t="shared" si="23"/>
        <v>0</v>
      </c>
      <c r="G419" s="550" t="s">
        <v>1201</v>
      </c>
    </row>
    <row r="420" spans="1:7" s="493" customFormat="1" ht="18.75" customHeight="1" hidden="1">
      <c r="A420" s="535"/>
      <c r="B420" s="488" t="s">
        <v>164</v>
      </c>
      <c r="C420" s="549" t="s">
        <v>165</v>
      </c>
      <c r="D420" s="490">
        <f>SUM(D421)</f>
        <v>0</v>
      </c>
      <c r="E420" s="490">
        <f>SUM(E421)</f>
        <v>0</v>
      </c>
      <c r="F420" s="491" t="e">
        <f t="shared" si="23"/>
        <v>#DIV/0!</v>
      </c>
      <c r="G420" s="1482"/>
    </row>
    <row r="421" spans="1:7" s="499" customFormat="1" ht="18.75" customHeight="1" hidden="1">
      <c r="A421" s="494"/>
      <c r="B421" s="495"/>
      <c r="C421" s="496" t="s">
        <v>838</v>
      </c>
      <c r="D421" s="360">
        <f>SUM(D422,D425)</f>
        <v>0</v>
      </c>
      <c r="E421" s="360">
        <f>SUM(E422,E425)</f>
        <v>0</v>
      </c>
      <c r="F421" s="497" t="e">
        <f t="shared" si="23"/>
        <v>#DIV/0!</v>
      </c>
      <c r="G421" s="1482"/>
    </row>
    <row r="422" spans="1:7" s="506" customFormat="1" ht="18" customHeight="1" hidden="1">
      <c r="A422" s="500"/>
      <c r="B422" s="501"/>
      <c r="C422" s="502" t="s">
        <v>976</v>
      </c>
      <c r="D422" s="503">
        <f>SUM(D423,D424)</f>
        <v>0</v>
      </c>
      <c r="E422" s="503">
        <f>SUM(E423,E424)</f>
        <v>0</v>
      </c>
      <c r="F422" s="504" t="e">
        <f t="shared" si="23"/>
        <v>#DIV/0!</v>
      </c>
      <c r="G422" s="1482"/>
    </row>
    <row r="423" spans="1:7" s="512" customFormat="1" ht="18.75" customHeight="1" hidden="1">
      <c r="A423" s="507"/>
      <c r="B423" s="508"/>
      <c r="C423" s="509" t="s">
        <v>1096</v>
      </c>
      <c r="D423" s="510">
        <v>0</v>
      </c>
      <c r="E423" s="510">
        <v>0</v>
      </c>
      <c r="F423" s="511" t="e">
        <f t="shared" si="23"/>
        <v>#DIV/0!</v>
      </c>
      <c r="G423" s="1482"/>
    </row>
    <row r="424" spans="1:7" s="512" customFormat="1" ht="18.75" customHeight="1" hidden="1">
      <c r="A424" s="539"/>
      <c r="B424" s="508"/>
      <c r="C424" s="509" t="s">
        <v>977</v>
      </c>
      <c r="D424" s="510">
        <v>0</v>
      </c>
      <c r="E424" s="510">
        <v>0</v>
      </c>
      <c r="F424" s="511" t="e">
        <f aca="true" t="shared" si="24" ref="F424:F430">E424/D424*100</f>
        <v>#DIV/0!</v>
      </c>
      <c r="G424" s="551"/>
    </row>
    <row r="425" spans="1:7" s="512" customFormat="1" ht="18.75" customHeight="1" hidden="1">
      <c r="A425" s="539"/>
      <c r="B425" s="508"/>
      <c r="C425" s="548" t="s">
        <v>978</v>
      </c>
      <c r="D425" s="503">
        <v>0</v>
      </c>
      <c r="E425" s="503">
        <v>0</v>
      </c>
      <c r="F425" s="504" t="e">
        <f t="shared" si="24"/>
        <v>#DIV/0!</v>
      </c>
      <c r="G425" s="550" t="s">
        <v>1201</v>
      </c>
    </row>
    <row r="426" spans="1:7" s="493" customFormat="1" ht="23.25" customHeight="1" hidden="1">
      <c r="A426" s="535"/>
      <c r="B426" s="488" t="s">
        <v>1316</v>
      </c>
      <c r="C426" s="525" t="s">
        <v>1330</v>
      </c>
      <c r="D426" s="490">
        <f>SUM(D427)</f>
        <v>0</v>
      </c>
      <c r="E426" s="490">
        <f>SUM(E427)</f>
        <v>0</v>
      </c>
      <c r="F426" s="504" t="e">
        <f t="shared" si="24"/>
        <v>#DIV/0!</v>
      </c>
      <c r="G426" s="485"/>
    </row>
    <row r="427" spans="1:7" s="499" customFormat="1" ht="18.75" customHeight="1" hidden="1">
      <c r="A427" s="494"/>
      <c r="B427" s="495"/>
      <c r="C427" s="496" t="s">
        <v>838</v>
      </c>
      <c r="D427" s="360">
        <f>SUM(D428,D431)</f>
        <v>0</v>
      </c>
      <c r="E427" s="360">
        <f>SUM(E428,E431)</f>
        <v>0</v>
      </c>
      <c r="F427" s="497" t="e">
        <f t="shared" si="24"/>
        <v>#DIV/0!</v>
      </c>
      <c r="G427" s="498"/>
    </row>
    <row r="428" spans="1:7" s="506" customFormat="1" ht="18" customHeight="1" hidden="1">
      <c r="A428" s="500"/>
      <c r="B428" s="501"/>
      <c r="C428" s="502" t="s">
        <v>976</v>
      </c>
      <c r="D428" s="503">
        <f>SUM(D429,D430)</f>
        <v>0</v>
      </c>
      <c r="E428" s="503">
        <f>SUM(E429,E430)</f>
        <v>0</v>
      </c>
      <c r="F428" s="504" t="e">
        <f t="shared" si="24"/>
        <v>#DIV/0!</v>
      </c>
      <c r="G428" s="505"/>
    </row>
    <row r="429" spans="1:7" s="512" customFormat="1" ht="18.75" customHeight="1" hidden="1">
      <c r="A429" s="507"/>
      <c r="B429" s="508"/>
      <c r="C429" s="509" t="s">
        <v>1096</v>
      </c>
      <c r="D429" s="510">
        <v>0</v>
      </c>
      <c r="E429" s="510">
        <v>0</v>
      </c>
      <c r="F429" s="511" t="e">
        <f t="shared" si="24"/>
        <v>#DIV/0!</v>
      </c>
      <c r="G429" s="505"/>
    </row>
    <row r="430" spans="1:7" s="512" customFormat="1" ht="18.75" customHeight="1" hidden="1">
      <c r="A430" s="507"/>
      <c r="B430" s="508"/>
      <c r="C430" s="509" t="s">
        <v>977</v>
      </c>
      <c r="D430" s="510">
        <v>0</v>
      </c>
      <c r="E430" s="510">
        <v>0</v>
      </c>
      <c r="F430" s="511" t="e">
        <f t="shared" si="24"/>
        <v>#DIV/0!</v>
      </c>
      <c r="G430" s="505"/>
    </row>
    <row r="431" spans="1:7" s="506" customFormat="1" ht="18.75" customHeight="1" hidden="1">
      <c r="A431" s="534"/>
      <c r="B431" s="501"/>
      <c r="C431" s="502" t="s">
        <v>982</v>
      </c>
      <c r="D431" s="503">
        <v>0</v>
      </c>
      <c r="E431" s="503">
        <v>0</v>
      </c>
      <c r="F431" s="504" t="e">
        <f t="shared" si="22"/>
        <v>#DIV/0!</v>
      </c>
      <c r="G431" s="530"/>
    </row>
    <row r="432" spans="1:7" s="493" customFormat="1" ht="40.5" customHeight="1" hidden="1">
      <c r="A432" s="535"/>
      <c r="B432" s="488" t="s">
        <v>442</v>
      </c>
      <c r="C432" s="192" t="s">
        <v>854</v>
      </c>
      <c r="D432" s="490">
        <f>SUM(D433)</f>
        <v>0</v>
      </c>
      <c r="E432" s="490">
        <f>SUM(E433)</f>
        <v>0</v>
      </c>
      <c r="F432" s="491" t="e">
        <f t="shared" si="22"/>
        <v>#DIV/0!</v>
      </c>
      <c r="G432" s="485"/>
    </row>
    <row r="433" spans="1:7" s="499" customFormat="1" ht="18.75" customHeight="1" hidden="1">
      <c r="A433" s="494"/>
      <c r="B433" s="495"/>
      <c r="C433" s="496" t="s">
        <v>838</v>
      </c>
      <c r="D433" s="360">
        <f>SUM(D434,D437,D438)</f>
        <v>0</v>
      </c>
      <c r="E433" s="360">
        <f>SUM(E434,E437,E438)</f>
        <v>0</v>
      </c>
      <c r="F433" s="497" t="e">
        <f t="shared" si="22"/>
        <v>#DIV/0!</v>
      </c>
      <c r="G433" s="498"/>
    </row>
    <row r="434" spans="1:7" s="506" customFormat="1" ht="18" customHeight="1" hidden="1">
      <c r="A434" s="500"/>
      <c r="B434" s="501"/>
      <c r="C434" s="502" t="s">
        <v>976</v>
      </c>
      <c r="D434" s="503">
        <f>SUM(D435,D436)</f>
        <v>0</v>
      </c>
      <c r="E434" s="503">
        <f>SUM(E435,E436)</f>
        <v>0</v>
      </c>
      <c r="F434" s="504" t="e">
        <f t="shared" si="22"/>
        <v>#DIV/0!</v>
      </c>
      <c r="G434" s="505"/>
    </row>
    <row r="435" spans="1:7" s="512" customFormat="1" ht="18.75" customHeight="1" hidden="1">
      <c r="A435" s="507"/>
      <c r="B435" s="508"/>
      <c r="C435" s="509" t="s">
        <v>1096</v>
      </c>
      <c r="D435" s="510">
        <v>0</v>
      </c>
      <c r="E435" s="510">
        <v>0</v>
      </c>
      <c r="F435" s="511" t="e">
        <f t="shared" si="22"/>
        <v>#DIV/0!</v>
      </c>
      <c r="G435" s="505"/>
    </row>
    <row r="436" spans="1:7" s="512" customFormat="1" ht="18.75" customHeight="1" hidden="1">
      <c r="A436" s="507"/>
      <c r="B436" s="508"/>
      <c r="C436" s="509" t="s">
        <v>977</v>
      </c>
      <c r="D436" s="510">
        <v>0</v>
      </c>
      <c r="E436" s="510">
        <v>0</v>
      </c>
      <c r="F436" s="511" t="e">
        <f t="shared" si="22"/>
        <v>#DIV/0!</v>
      </c>
      <c r="G436" s="505"/>
    </row>
    <row r="437" spans="1:7" s="506" customFormat="1" ht="18.75" customHeight="1" hidden="1">
      <c r="A437" s="534"/>
      <c r="B437" s="501"/>
      <c r="C437" s="548" t="s">
        <v>978</v>
      </c>
      <c r="D437" s="503">
        <v>0</v>
      </c>
      <c r="E437" s="503">
        <v>0</v>
      </c>
      <c r="F437" s="504" t="e">
        <f t="shared" si="22"/>
        <v>#DIV/0!</v>
      </c>
      <c r="G437" s="550" t="s">
        <v>1201</v>
      </c>
    </row>
    <row r="438" spans="1:7" s="506" customFormat="1" ht="18.75" customHeight="1" hidden="1">
      <c r="A438" s="534"/>
      <c r="B438" s="501"/>
      <c r="C438" s="538" t="s">
        <v>982</v>
      </c>
      <c r="D438" s="503">
        <v>0</v>
      </c>
      <c r="E438" s="503">
        <v>0</v>
      </c>
      <c r="F438" s="504" t="e">
        <f t="shared" si="22"/>
        <v>#DIV/0!</v>
      </c>
      <c r="G438" s="505"/>
    </row>
    <row r="439" spans="1:7" s="493" customFormat="1" ht="65.25" customHeight="1">
      <c r="A439" s="535"/>
      <c r="B439" s="543" t="s">
        <v>443</v>
      </c>
      <c r="C439" s="489" t="s">
        <v>835</v>
      </c>
      <c r="D439" s="490">
        <f>D440</f>
        <v>193000</v>
      </c>
      <c r="E439" s="490">
        <f>E440</f>
        <v>111242.22</v>
      </c>
      <c r="F439" s="491">
        <f t="shared" si="22"/>
        <v>57.63845595854923</v>
      </c>
      <c r="G439" s="485"/>
    </row>
    <row r="440" spans="1:7" s="499" customFormat="1" ht="18.75" customHeight="1">
      <c r="A440" s="494"/>
      <c r="B440" s="495"/>
      <c r="C440" s="496" t="s">
        <v>838</v>
      </c>
      <c r="D440" s="360">
        <f>SUM(D441,D443)</f>
        <v>193000</v>
      </c>
      <c r="E440" s="360">
        <f>SUM(E441,E443)</f>
        <v>111242.22</v>
      </c>
      <c r="F440" s="497">
        <f t="shared" si="22"/>
        <v>57.63845595854923</v>
      </c>
      <c r="G440" s="498"/>
    </row>
    <row r="441" spans="1:7" s="506" customFormat="1" ht="18" customHeight="1">
      <c r="A441" s="500"/>
      <c r="B441" s="501"/>
      <c r="C441" s="502" t="s">
        <v>976</v>
      </c>
      <c r="D441" s="503">
        <f>SUM(D442)</f>
        <v>190000</v>
      </c>
      <c r="E441" s="503">
        <f>SUM(E442)</f>
        <v>111242.22</v>
      </c>
      <c r="F441" s="504">
        <f t="shared" si="22"/>
        <v>58.54853684210526</v>
      </c>
      <c r="G441" s="505"/>
    </row>
    <row r="442" spans="1:7" s="512" customFormat="1" ht="18.75" customHeight="1">
      <c r="A442" s="507"/>
      <c r="B442" s="508"/>
      <c r="C442" s="509" t="s">
        <v>977</v>
      </c>
      <c r="D442" s="510">
        <v>190000</v>
      </c>
      <c r="E442" s="510">
        <v>111242.22</v>
      </c>
      <c r="F442" s="511">
        <f>E442/D442*100</f>
        <v>58.54853684210526</v>
      </c>
      <c r="G442" s="505"/>
    </row>
    <row r="443" spans="1:7" s="506" customFormat="1" ht="18.75" customHeight="1">
      <c r="A443" s="534"/>
      <c r="B443" s="501"/>
      <c r="C443" s="548" t="s">
        <v>978</v>
      </c>
      <c r="D443" s="503">
        <v>3000</v>
      </c>
      <c r="E443" s="503">
        <v>0</v>
      </c>
      <c r="F443" s="504">
        <f t="shared" si="22"/>
        <v>0</v>
      </c>
      <c r="G443" s="550" t="s">
        <v>1201</v>
      </c>
    </row>
    <row r="444" spans="1:7" s="493" customFormat="1" ht="30" customHeight="1">
      <c r="A444" s="535"/>
      <c r="B444" s="543" t="s">
        <v>444</v>
      </c>
      <c r="C444" s="489" t="s">
        <v>369</v>
      </c>
      <c r="D444" s="490">
        <f>D445</f>
        <v>1268250</v>
      </c>
      <c r="E444" s="490">
        <f>E445</f>
        <v>555391.72</v>
      </c>
      <c r="F444" s="491">
        <f t="shared" si="22"/>
        <v>43.79197476838163</v>
      </c>
      <c r="G444" s="485"/>
    </row>
    <row r="445" spans="1:7" s="499" customFormat="1" ht="18.75" customHeight="1">
      <c r="A445" s="494"/>
      <c r="B445" s="495"/>
      <c r="C445" s="496" t="s">
        <v>838</v>
      </c>
      <c r="D445" s="360">
        <f>SUM(D446,D449,D450,D451)</f>
        <v>1268250</v>
      </c>
      <c r="E445" s="360">
        <f>SUM(E446,E449,E450,E451)</f>
        <v>555391.72</v>
      </c>
      <c r="F445" s="497">
        <f t="shared" si="22"/>
        <v>43.79197476838163</v>
      </c>
      <c r="G445" s="498"/>
    </row>
    <row r="446" spans="1:7" s="506" customFormat="1" ht="18" customHeight="1">
      <c r="A446" s="500"/>
      <c r="B446" s="501"/>
      <c r="C446" s="502" t="s">
        <v>976</v>
      </c>
      <c r="D446" s="503">
        <f>SUM(D447,D448)</f>
        <v>21000</v>
      </c>
      <c r="E446" s="503">
        <f>SUM(E447,E448)</f>
        <v>7672</v>
      </c>
      <c r="F446" s="504">
        <f t="shared" si="22"/>
        <v>36.53333333333333</v>
      </c>
      <c r="G446" s="505"/>
    </row>
    <row r="447" spans="1:7" s="512" customFormat="1" ht="18.75" customHeight="1">
      <c r="A447" s="507"/>
      <c r="B447" s="508"/>
      <c r="C447" s="509" t="s">
        <v>1096</v>
      </c>
      <c r="D447" s="510">
        <v>1000</v>
      </c>
      <c r="E447" s="510">
        <v>0</v>
      </c>
      <c r="F447" s="511">
        <f t="shared" si="22"/>
        <v>0</v>
      </c>
      <c r="G447" s="505"/>
    </row>
    <row r="448" spans="1:7" s="512" customFormat="1" ht="18.75" customHeight="1">
      <c r="A448" s="507"/>
      <c r="B448" s="508"/>
      <c r="C448" s="509" t="s">
        <v>977</v>
      </c>
      <c r="D448" s="510">
        <v>20000</v>
      </c>
      <c r="E448" s="510">
        <v>7672</v>
      </c>
      <c r="F448" s="511">
        <f t="shared" si="22"/>
        <v>38.36</v>
      </c>
      <c r="G448" s="505"/>
    </row>
    <row r="449" spans="1:7" s="506" customFormat="1" ht="18.75" customHeight="1">
      <c r="A449" s="534"/>
      <c r="B449" s="501"/>
      <c r="C449" s="548" t="s">
        <v>978</v>
      </c>
      <c r="D449" s="503">
        <v>3000</v>
      </c>
      <c r="E449" s="503">
        <v>0</v>
      </c>
      <c r="F449" s="504">
        <f t="shared" si="22"/>
        <v>0</v>
      </c>
      <c r="G449" s="550" t="s">
        <v>1201</v>
      </c>
    </row>
    <row r="450" spans="1:7" s="506" customFormat="1" ht="18.75" customHeight="1">
      <c r="A450" s="534"/>
      <c r="B450" s="501"/>
      <c r="C450" s="538" t="s">
        <v>982</v>
      </c>
      <c r="D450" s="503">
        <v>1244250</v>
      </c>
      <c r="E450" s="503">
        <v>547719.72</v>
      </c>
      <c r="F450" s="504">
        <f t="shared" si="22"/>
        <v>44.02006992163954</v>
      </c>
      <c r="G450" s="505"/>
    </row>
    <row r="451" spans="1:7" s="506" customFormat="1" ht="18.75" customHeight="1" hidden="1">
      <c r="A451" s="534"/>
      <c r="B451" s="501"/>
      <c r="C451" s="538" t="s">
        <v>989</v>
      </c>
      <c r="D451" s="503">
        <v>0</v>
      </c>
      <c r="E451" s="503">
        <v>0</v>
      </c>
      <c r="F451" s="504" t="e">
        <f>E451/D451*100</f>
        <v>#DIV/0!</v>
      </c>
      <c r="G451" s="550" t="s">
        <v>883</v>
      </c>
    </row>
    <row r="452" spans="1:7" s="493" customFormat="1" ht="18.75" customHeight="1">
      <c r="A452" s="535"/>
      <c r="B452" s="488" t="s">
        <v>445</v>
      </c>
      <c r="C452" s="531" t="s">
        <v>30</v>
      </c>
      <c r="D452" s="490">
        <f>D453</f>
        <v>1074387.41</v>
      </c>
      <c r="E452" s="490">
        <f>E453</f>
        <v>520100.6</v>
      </c>
      <c r="F452" s="491">
        <f t="shared" si="22"/>
        <v>48.409037108876774</v>
      </c>
      <c r="G452" s="485"/>
    </row>
    <row r="453" spans="1:7" s="499" customFormat="1" ht="18.75" customHeight="1">
      <c r="A453" s="494"/>
      <c r="B453" s="495"/>
      <c r="C453" s="496" t="s">
        <v>838</v>
      </c>
      <c r="D453" s="360">
        <f>SUM(D454,D456)</f>
        <v>1074387.41</v>
      </c>
      <c r="E453" s="360">
        <f>SUM(E454,E456)</f>
        <v>520100.6</v>
      </c>
      <c r="F453" s="497">
        <f t="shared" si="22"/>
        <v>48.409037108876774</v>
      </c>
      <c r="G453" s="498"/>
    </row>
    <row r="454" spans="1:7" s="506" customFormat="1" ht="18" customHeight="1">
      <c r="A454" s="500"/>
      <c r="B454" s="501"/>
      <c r="C454" s="502" t="s">
        <v>976</v>
      </c>
      <c r="D454" s="503">
        <f>SUM(D455)</f>
        <v>403.39</v>
      </c>
      <c r="E454" s="503">
        <f>SUM(E455)</f>
        <v>0</v>
      </c>
      <c r="F454" s="504">
        <f>E454/D454*100</f>
        <v>0</v>
      </c>
      <c r="G454" s="505"/>
    </row>
    <row r="455" spans="1:7" s="512" customFormat="1" ht="18.75" customHeight="1">
      <c r="A455" s="507"/>
      <c r="B455" s="508"/>
      <c r="C455" s="509" t="s">
        <v>977</v>
      </c>
      <c r="D455" s="510">
        <v>403.39</v>
      </c>
      <c r="E455" s="510">
        <v>0</v>
      </c>
      <c r="F455" s="511">
        <f>E455/D455*100</f>
        <v>0</v>
      </c>
      <c r="G455" s="505"/>
    </row>
    <row r="456" spans="1:7" s="506" customFormat="1" ht="18.75" customHeight="1">
      <c r="A456" s="534"/>
      <c r="B456" s="501"/>
      <c r="C456" s="538" t="s">
        <v>982</v>
      </c>
      <c r="D456" s="503">
        <v>1073984.02</v>
      </c>
      <c r="E456" s="503">
        <v>520100.6</v>
      </c>
      <c r="F456" s="504">
        <f t="shared" si="22"/>
        <v>48.427219615427795</v>
      </c>
      <c r="G456" s="505"/>
    </row>
    <row r="457" spans="1:7" s="493" customFormat="1" ht="18.75" customHeight="1">
      <c r="A457" s="535"/>
      <c r="B457" s="488" t="s">
        <v>413</v>
      </c>
      <c r="C457" s="531" t="s">
        <v>1120</v>
      </c>
      <c r="D457" s="490">
        <f>SUM(D458)</f>
        <v>748000</v>
      </c>
      <c r="E457" s="490">
        <f>SUM(E458)</f>
        <v>527371.69</v>
      </c>
      <c r="F457" s="491">
        <f t="shared" si="22"/>
        <v>70.50423663101604</v>
      </c>
      <c r="G457" s="485"/>
    </row>
    <row r="458" spans="1:7" s="499" customFormat="1" ht="18.75" customHeight="1">
      <c r="A458" s="494"/>
      <c r="B458" s="495"/>
      <c r="C458" s="496" t="s">
        <v>838</v>
      </c>
      <c r="D458" s="360">
        <f>SUM(D459,D460)</f>
        <v>748000</v>
      </c>
      <c r="E458" s="360">
        <f>SUM(E459,E460)</f>
        <v>527371.69</v>
      </c>
      <c r="F458" s="497">
        <f aca="true" t="shared" si="25" ref="F458:F480">E458/D458*100</f>
        <v>70.50423663101604</v>
      </c>
      <c r="G458" s="498"/>
    </row>
    <row r="459" spans="1:7" s="506" customFormat="1" ht="18.75" customHeight="1">
      <c r="A459" s="534"/>
      <c r="B459" s="501"/>
      <c r="C459" s="538" t="s">
        <v>978</v>
      </c>
      <c r="D459" s="503">
        <v>12000</v>
      </c>
      <c r="E459" s="503">
        <v>0</v>
      </c>
      <c r="F459" s="504">
        <f t="shared" si="25"/>
        <v>0</v>
      </c>
      <c r="G459" s="550" t="s">
        <v>1201</v>
      </c>
    </row>
    <row r="460" spans="1:7" s="506" customFormat="1" ht="18.75" customHeight="1">
      <c r="A460" s="534"/>
      <c r="B460" s="501"/>
      <c r="C460" s="538" t="s">
        <v>982</v>
      </c>
      <c r="D460" s="503">
        <v>736000</v>
      </c>
      <c r="E460" s="503">
        <v>527371.69</v>
      </c>
      <c r="F460" s="504">
        <f t="shared" si="25"/>
        <v>71.65376222826086</v>
      </c>
      <c r="G460" s="505"/>
    </row>
    <row r="461" spans="1:7" s="506" customFormat="1" ht="18.75" customHeight="1">
      <c r="A461" s="535"/>
      <c r="B461" s="488" t="s">
        <v>446</v>
      </c>
      <c r="C461" s="489" t="s">
        <v>31</v>
      </c>
      <c r="D461" s="490">
        <f>SUM(D462,D467)</f>
        <v>2970157</v>
      </c>
      <c r="E461" s="490">
        <f>SUM(E462,E467)</f>
        <v>1430202.9100000001</v>
      </c>
      <c r="F461" s="491">
        <f t="shared" si="25"/>
        <v>48.152434702946685</v>
      </c>
      <c r="G461" s="505"/>
    </row>
    <row r="462" spans="1:7" s="499" customFormat="1" ht="18.75" customHeight="1">
      <c r="A462" s="494"/>
      <c r="B462" s="495"/>
      <c r="C462" s="496" t="s">
        <v>838</v>
      </c>
      <c r="D462" s="360">
        <f>SUM(D463,D466)</f>
        <v>2970157</v>
      </c>
      <c r="E462" s="360">
        <f>SUM(E463,E466)</f>
        <v>1430202.9100000001</v>
      </c>
      <c r="F462" s="497">
        <f t="shared" si="25"/>
        <v>48.152434702946685</v>
      </c>
      <c r="G462" s="498"/>
    </row>
    <row r="463" spans="1:7" s="506" customFormat="1" ht="18" customHeight="1">
      <c r="A463" s="500"/>
      <c r="B463" s="501"/>
      <c r="C463" s="502" t="s">
        <v>976</v>
      </c>
      <c r="D463" s="503">
        <f>SUM(D464,D465)</f>
        <v>2954539</v>
      </c>
      <c r="E463" s="503">
        <f>SUM(E464,E465)</f>
        <v>1419977.4700000002</v>
      </c>
      <c r="F463" s="504">
        <f t="shared" si="25"/>
        <v>48.060880902232135</v>
      </c>
      <c r="G463" s="505"/>
    </row>
    <row r="464" spans="1:7" s="506" customFormat="1" ht="18" customHeight="1">
      <c r="A464" s="500"/>
      <c r="B464" s="501"/>
      <c r="C464" s="509" t="s">
        <v>1096</v>
      </c>
      <c r="D464" s="510">
        <v>2413320</v>
      </c>
      <c r="E464" s="510">
        <v>1187265.86</v>
      </c>
      <c r="F464" s="511">
        <f t="shared" si="25"/>
        <v>49.19637097442528</v>
      </c>
      <c r="G464" s="505"/>
    </row>
    <row r="465" spans="1:7" s="512" customFormat="1" ht="18.75" customHeight="1">
      <c r="A465" s="507"/>
      <c r="B465" s="508"/>
      <c r="C465" s="509" t="s">
        <v>977</v>
      </c>
      <c r="D465" s="510">
        <v>541219</v>
      </c>
      <c r="E465" s="510">
        <v>232711.61</v>
      </c>
      <c r="F465" s="511">
        <f t="shared" si="25"/>
        <v>42.99767931281052</v>
      </c>
      <c r="G465" s="505"/>
    </row>
    <row r="466" spans="1:7" s="506" customFormat="1" ht="18.75" customHeight="1">
      <c r="A466" s="534"/>
      <c r="B466" s="501"/>
      <c r="C466" s="548" t="s">
        <v>982</v>
      </c>
      <c r="D466" s="503">
        <v>15618</v>
      </c>
      <c r="E466" s="503">
        <v>10225.44</v>
      </c>
      <c r="F466" s="504">
        <f t="shared" si="25"/>
        <v>65.4721475220899</v>
      </c>
      <c r="G466" s="505"/>
    </row>
    <row r="467" spans="1:7" s="499" customFormat="1" ht="18.75" customHeight="1" hidden="1">
      <c r="A467" s="494"/>
      <c r="B467" s="495"/>
      <c r="C467" s="496" t="s">
        <v>979</v>
      </c>
      <c r="D467" s="360">
        <f>SUM(D468)</f>
        <v>0</v>
      </c>
      <c r="E467" s="360">
        <f>SUM(E468)</f>
        <v>0</v>
      </c>
      <c r="F467" s="497" t="e">
        <f t="shared" si="25"/>
        <v>#DIV/0!</v>
      </c>
      <c r="G467" s="498"/>
    </row>
    <row r="468" spans="1:7" s="506" customFormat="1" ht="29.25" customHeight="1" hidden="1">
      <c r="A468" s="500"/>
      <c r="B468" s="501"/>
      <c r="C468" s="502" t="s">
        <v>251</v>
      </c>
      <c r="D468" s="503">
        <v>0</v>
      </c>
      <c r="E468" s="503">
        <v>0</v>
      </c>
      <c r="F468" s="504" t="e">
        <f t="shared" si="25"/>
        <v>#DIV/0!</v>
      </c>
      <c r="G468" s="505"/>
    </row>
    <row r="469" spans="1:8" s="540" customFormat="1" ht="27" customHeight="1">
      <c r="A469" s="535"/>
      <c r="B469" s="488" t="s">
        <v>448</v>
      </c>
      <c r="C469" s="489" t="s">
        <v>34</v>
      </c>
      <c r="D469" s="490">
        <f>D470</f>
        <v>1480040</v>
      </c>
      <c r="E469" s="490">
        <f>E470</f>
        <v>717526.2200000001</v>
      </c>
      <c r="F469" s="491">
        <f t="shared" si="25"/>
        <v>48.48019107591687</v>
      </c>
      <c r="G469" s="505"/>
      <c r="H469" s="506"/>
    </row>
    <row r="470" spans="1:7" s="499" customFormat="1" ht="18.75" customHeight="1">
      <c r="A470" s="494"/>
      <c r="B470" s="495"/>
      <c r="C470" s="496" t="s">
        <v>838</v>
      </c>
      <c r="D470" s="360">
        <f>SUM(D471,D474)</f>
        <v>1480040</v>
      </c>
      <c r="E470" s="360">
        <f>SUM(E471,E474)</f>
        <v>717526.2200000001</v>
      </c>
      <c r="F470" s="497">
        <f t="shared" si="25"/>
        <v>48.48019107591687</v>
      </c>
      <c r="G470" s="498"/>
    </row>
    <row r="471" spans="1:7" s="506" customFormat="1" ht="18" customHeight="1">
      <c r="A471" s="500"/>
      <c r="B471" s="501"/>
      <c r="C471" s="502" t="s">
        <v>976</v>
      </c>
      <c r="D471" s="503">
        <f>SUM(D473,D472)</f>
        <v>1464040</v>
      </c>
      <c r="E471" s="503">
        <f>SUM(E473,E472)</f>
        <v>706750.05</v>
      </c>
      <c r="F471" s="504">
        <f t="shared" si="25"/>
        <v>48.27395767875195</v>
      </c>
      <c r="G471" s="505"/>
    </row>
    <row r="472" spans="1:7" s="512" customFormat="1" ht="18.75" customHeight="1">
      <c r="A472" s="507"/>
      <c r="B472" s="508"/>
      <c r="C472" s="509" t="s">
        <v>1096</v>
      </c>
      <c r="D472" s="510">
        <v>1375907</v>
      </c>
      <c r="E472" s="510">
        <v>655765.78</v>
      </c>
      <c r="F472" s="511">
        <f t="shared" si="25"/>
        <v>47.66061805049324</v>
      </c>
      <c r="G472" s="505"/>
    </row>
    <row r="473" spans="1:7" s="512" customFormat="1" ht="18.75" customHeight="1">
      <c r="A473" s="507"/>
      <c r="B473" s="508"/>
      <c r="C473" s="509" t="s">
        <v>977</v>
      </c>
      <c r="D473" s="510">
        <v>88133</v>
      </c>
      <c r="E473" s="510">
        <v>50984.27</v>
      </c>
      <c r="F473" s="511">
        <f t="shared" si="25"/>
        <v>57.84923921800006</v>
      </c>
      <c r="G473" s="505"/>
    </row>
    <row r="474" spans="1:7" s="506" customFormat="1" ht="18.75" customHeight="1">
      <c r="A474" s="534"/>
      <c r="B474" s="501"/>
      <c r="C474" s="548" t="s">
        <v>982</v>
      </c>
      <c r="D474" s="503">
        <v>16000</v>
      </c>
      <c r="E474" s="503">
        <v>10776.17</v>
      </c>
      <c r="F474" s="504">
        <f t="shared" si="25"/>
        <v>67.3510625</v>
      </c>
      <c r="G474" s="505"/>
    </row>
    <row r="475" spans="1:7" s="506" customFormat="1" ht="18.75" customHeight="1">
      <c r="A475" s="535"/>
      <c r="B475" s="488" t="s">
        <v>1428</v>
      </c>
      <c r="C475" s="531" t="s">
        <v>1429</v>
      </c>
      <c r="D475" s="490">
        <f>SUM(D476)</f>
        <v>423000</v>
      </c>
      <c r="E475" s="490">
        <f>SUM(E476)</f>
        <v>289819.07</v>
      </c>
      <c r="F475" s="491">
        <f t="shared" si="25"/>
        <v>68.51514657210403</v>
      </c>
      <c r="G475" s="505"/>
    </row>
    <row r="476" spans="1:7" s="499" customFormat="1" ht="18.75" customHeight="1">
      <c r="A476" s="494"/>
      <c r="B476" s="495"/>
      <c r="C476" s="496" t="s">
        <v>838</v>
      </c>
      <c r="D476" s="360">
        <f>SUM(D477,D478)</f>
        <v>423000</v>
      </c>
      <c r="E476" s="360">
        <f>SUM(E477,E478)</f>
        <v>289819.07</v>
      </c>
      <c r="F476" s="497">
        <f t="shared" si="25"/>
        <v>68.51514657210403</v>
      </c>
      <c r="G476" s="498"/>
    </row>
    <row r="477" spans="1:7" s="499" customFormat="1" ht="18.75" customHeight="1">
      <c r="A477" s="1388"/>
      <c r="B477" s="495"/>
      <c r="C477" s="538" t="s">
        <v>978</v>
      </c>
      <c r="D477" s="503">
        <v>3000</v>
      </c>
      <c r="E477" s="503">
        <v>0</v>
      </c>
      <c r="F477" s="504">
        <f>E477/D477*100</f>
        <v>0</v>
      </c>
      <c r="G477" s="498"/>
    </row>
    <row r="478" spans="1:7" s="506" customFormat="1" ht="18.75" customHeight="1">
      <c r="A478" s="534"/>
      <c r="B478" s="501"/>
      <c r="C478" s="548" t="s">
        <v>982</v>
      </c>
      <c r="D478" s="503">
        <v>420000</v>
      </c>
      <c r="E478" s="503">
        <v>289819.07</v>
      </c>
      <c r="F478" s="504">
        <f>E478/D478*100</f>
        <v>69.00454047619048</v>
      </c>
      <c r="G478" s="505"/>
    </row>
    <row r="479" spans="1:7" s="506" customFormat="1" ht="18.75" customHeight="1" hidden="1">
      <c r="A479" s="535"/>
      <c r="B479" s="488" t="s">
        <v>1028</v>
      </c>
      <c r="C479" s="531" t="s">
        <v>1115</v>
      </c>
      <c r="D479" s="490">
        <f>SUM(D480)</f>
        <v>0</v>
      </c>
      <c r="E479" s="490">
        <f>SUM(E480)</f>
        <v>0</v>
      </c>
      <c r="F479" s="491" t="e">
        <f t="shared" si="25"/>
        <v>#DIV/0!</v>
      </c>
      <c r="G479" s="505"/>
    </row>
    <row r="480" spans="1:7" s="499" customFormat="1" ht="18.75" customHeight="1" hidden="1">
      <c r="A480" s="494"/>
      <c r="B480" s="495"/>
      <c r="C480" s="496" t="s">
        <v>838</v>
      </c>
      <c r="D480" s="360">
        <f>SUM(D481)</f>
        <v>0</v>
      </c>
      <c r="E480" s="360">
        <f>SUM(E481)</f>
        <v>0</v>
      </c>
      <c r="F480" s="497" t="e">
        <f t="shared" si="25"/>
        <v>#DIV/0!</v>
      </c>
      <c r="G480" s="498"/>
    </row>
    <row r="481" spans="1:7" s="506" customFormat="1" ht="18.75" customHeight="1" hidden="1">
      <c r="A481" s="534"/>
      <c r="B481" s="501"/>
      <c r="C481" s="548" t="s">
        <v>982</v>
      </c>
      <c r="D481" s="503">
        <v>0</v>
      </c>
      <c r="E481" s="503">
        <v>0</v>
      </c>
      <c r="F481" s="504" t="e">
        <f>E481/D481*100</f>
        <v>#DIV/0!</v>
      </c>
      <c r="G481" s="505"/>
    </row>
    <row r="482" spans="1:7" s="506" customFormat="1" ht="18.75" customHeight="1">
      <c r="A482" s="535"/>
      <c r="B482" s="488" t="s">
        <v>450</v>
      </c>
      <c r="C482" s="531" t="s">
        <v>176</v>
      </c>
      <c r="D482" s="490">
        <f>SUM(D483,D489)</f>
        <v>3120</v>
      </c>
      <c r="E482" s="490">
        <f>SUM(E483,E489)</f>
        <v>105.56</v>
      </c>
      <c r="F482" s="491">
        <f>E482/D482*100</f>
        <v>3.3833333333333333</v>
      </c>
      <c r="G482" s="505"/>
    </row>
    <row r="483" spans="1:7" s="499" customFormat="1" ht="18.75" customHeight="1">
      <c r="A483" s="494"/>
      <c r="B483" s="495"/>
      <c r="C483" s="496" t="s">
        <v>838</v>
      </c>
      <c r="D483" s="360">
        <f>SUM(D484,D487,D488)</f>
        <v>3120</v>
      </c>
      <c r="E483" s="360">
        <f>SUM(E484,E487,E488)</f>
        <v>105.56</v>
      </c>
      <c r="F483" s="497">
        <f>E483/D483*100</f>
        <v>3.3833333333333333</v>
      </c>
      <c r="G483" s="498"/>
    </row>
    <row r="484" spans="1:7" s="506" customFormat="1" ht="18" customHeight="1">
      <c r="A484" s="500"/>
      <c r="B484" s="501"/>
      <c r="C484" s="502" t="s">
        <v>976</v>
      </c>
      <c r="D484" s="503">
        <f>SUM(D486,D485)</f>
        <v>14</v>
      </c>
      <c r="E484" s="503">
        <f>SUM(E486,E485)</f>
        <v>0.3</v>
      </c>
      <c r="F484" s="504">
        <f aca="true" t="shared" si="26" ref="F484:F490">E484/D484*100</f>
        <v>2.142857142857143</v>
      </c>
      <c r="G484" s="505"/>
    </row>
    <row r="485" spans="1:7" s="512" customFormat="1" ht="18.75" customHeight="1" hidden="1">
      <c r="A485" s="507"/>
      <c r="B485" s="508"/>
      <c r="C485" s="509" t="s">
        <v>1096</v>
      </c>
      <c r="D485" s="510">
        <v>0</v>
      </c>
      <c r="E485" s="510">
        <v>0</v>
      </c>
      <c r="F485" s="511" t="e">
        <f t="shared" si="26"/>
        <v>#DIV/0!</v>
      </c>
      <c r="G485" s="505"/>
    </row>
    <row r="486" spans="1:7" s="512" customFormat="1" ht="18.75" customHeight="1">
      <c r="A486" s="507"/>
      <c r="B486" s="508"/>
      <c r="C486" s="509" t="s">
        <v>977</v>
      </c>
      <c r="D486" s="510">
        <v>14</v>
      </c>
      <c r="E486" s="510">
        <v>0.3</v>
      </c>
      <c r="F486" s="511">
        <f t="shared" si="26"/>
        <v>2.142857142857143</v>
      </c>
      <c r="G486" s="505"/>
    </row>
    <row r="487" spans="1:7" s="506" customFormat="1" ht="18.75" customHeight="1">
      <c r="A487" s="534"/>
      <c r="B487" s="501"/>
      <c r="C487" s="538" t="s">
        <v>978</v>
      </c>
      <c r="D487" s="503">
        <v>3106</v>
      </c>
      <c r="E487" s="503">
        <v>105.26</v>
      </c>
      <c r="F487" s="504">
        <f t="shared" si="26"/>
        <v>3.3889246619446234</v>
      </c>
      <c r="G487" s="550" t="s">
        <v>1201</v>
      </c>
    </row>
    <row r="488" spans="1:7" s="506" customFormat="1" ht="18.75" customHeight="1" hidden="1">
      <c r="A488" s="534"/>
      <c r="B488" s="501"/>
      <c r="C488" s="548" t="s">
        <v>982</v>
      </c>
      <c r="D488" s="503">
        <v>0</v>
      </c>
      <c r="E488" s="503">
        <v>0</v>
      </c>
      <c r="F488" s="504" t="e">
        <f t="shared" si="26"/>
        <v>#DIV/0!</v>
      </c>
      <c r="G488" s="505"/>
    </row>
    <row r="489" spans="1:7" s="506" customFormat="1" ht="18.75" customHeight="1" hidden="1">
      <c r="A489" s="534"/>
      <c r="B489" s="501"/>
      <c r="C489" s="496" t="s">
        <v>979</v>
      </c>
      <c r="D489" s="360">
        <f>SUM(D490)</f>
        <v>0</v>
      </c>
      <c r="E489" s="360">
        <f>SUM(E490)</f>
        <v>0</v>
      </c>
      <c r="F489" s="497" t="e">
        <f t="shared" si="26"/>
        <v>#DIV/0!</v>
      </c>
      <c r="G489" s="505"/>
    </row>
    <row r="490" spans="1:7" s="506" customFormat="1" ht="27.75" customHeight="1" hidden="1">
      <c r="A490" s="534"/>
      <c r="B490" s="501"/>
      <c r="C490" s="502" t="s">
        <v>251</v>
      </c>
      <c r="D490" s="503">
        <v>0</v>
      </c>
      <c r="E490" s="503">
        <v>0</v>
      </c>
      <c r="F490" s="504" t="e">
        <f t="shared" si="26"/>
        <v>#DIV/0!</v>
      </c>
      <c r="G490" s="505"/>
    </row>
    <row r="491" spans="1:7" s="506" customFormat="1" ht="27" customHeight="1">
      <c r="A491" s="536" t="s">
        <v>25</v>
      </c>
      <c r="B491" s="481"/>
      <c r="C491" s="482" t="s">
        <v>710</v>
      </c>
      <c r="D491" s="483">
        <f>SUM(D492,D503)</f>
        <v>1302392</v>
      </c>
      <c r="E491" s="483">
        <f>SUM(E492,E503)</f>
        <v>544154.76</v>
      </c>
      <c r="F491" s="484">
        <f>E491/D491*100</f>
        <v>41.78118108833592</v>
      </c>
      <c r="G491" s="505"/>
    </row>
    <row r="492" spans="1:8" s="540" customFormat="1" ht="18.75" customHeight="1" hidden="1">
      <c r="A492" s="535"/>
      <c r="B492" s="488" t="s">
        <v>26</v>
      </c>
      <c r="C492" s="489" t="s">
        <v>711</v>
      </c>
      <c r="D492" s="490">
        <f>SUM(D493,D500)</f>
        <v>0</v>
      </c>
      <c r="E492" s="490">
        <f>SUM(E493,E500)</f>
        <v>0</v>
      </c>
      <c r="F492" s="491" t="e">
        <f>E492/D492*100</f>
        <v>#DIV/0!</v>
      </c>
      <c r="G492" s="505"/>
      <c r="H492" s="506"/>
    </row>
    <row r="493" spans="1:7" s="499" customFormat="1" ht="18.75" customHeight="1" hidden="1">
      <c r="A493" s="494"/>
      <c r="B493" s="495"/>
      <c r="C493" s="496" t="s">
        <v>838</v>
      </c>
      <c r="D493" s="360">
        <f>SUM(D494,D497,D498,D499)</f>
        <v>0</v>
      </c>
      <c r="E493" s="360">
        <f>SUM(E494,E497,E498,E499)</f>
        <v>0</v>
      </c>
      <c r="F493" s="497" t="e">
        <f>E493/D493*100</f>
        <v>#DIV/0!</v>
      </c>
      <c r="G493" s="498"/>
    </row>
    <row r="494" spans="1:7" s="506" customFormat="1" ht="18" customHeight="1" hidden="1">
      <c r="A494" s="500"/>
      <c r="B494" s="501"/>
      <c r="C494" s="502" t="s">
        <v>976</v>
      </c>
      <c r="D494" s="503">
        <f>SUM(D495,D496)</f>
        <v>0</v>
      </c>
      <c r="E494" s="503">
        <f>SUM(E495,E496)</f>
        <v>0</v>
      </c>
      <c r="F494" s="504" t="e">
        <f aca="true" t="shared" si="27" ref="F494:F539">E494/D494*100</f>
        <v>#DIV/0!</v>
      </c>
      <c r="G494" s="505"/>
    </row>
    <row r="495" spans="1:7" s="512" customFormat="1" ht="18.75" customHeight="1" hidden="1">
      <c r="A495" s="507"/>
      <c r="B495" s="508"/>
      <c r="C495" s="509" t="s">
        <v>1096</v>
      </c>
      <c r="D495" s="510">
        <v>0</v>
      </c>
      <c r="E495" s="510">
        <v>0</v>
      </c>
      <c r="F495" s="511" t="e">
        <f t="shared" si="27"/>
        <v>#DIV/0!</v>
      </c>
      <c r="G495" s="505"/>
    </row>
    <row r="496" spans="1:7" s="512" customFormat="1" ht="18.75" customHeight="1" hidden="1">
      <c r="A496" s="507"/>
      <c r="B496" s="508"/>
      <c r="C496" s="509" t="s">
        <v>977</v>
      </c>
      <c r="D496" s="510">
        <v>0</v>
      </c>
      <c r="E496" s="510">
        <v>0</v>
      </c>
      <c r="F496" s="511" t="e">
        <f t="shared" si="27"/>
        <v>#DIV/0!</v>
      </c>
      <c r="G496" s="505"/>
    </row>
    <row r="497" spans="1:7" s="506" customFormat="1" ht="18.75" customHeight="1" hidden="1">
      <c r="A497" s="534"/>
      <c r="B497" s="501"/>
      <c r="C497" s="548" t="s">
        <v>982</v>
      </c>
      <c r="D497" s="503">
        <v>0</v>
      </c>
      <c r="E497" s="503">
        <v>0</v>
      </c>
      <c r="F497" s="504" t="e">
        <f>E497/D497*100</f>
        <v>#DIV/0!</v>
      </c>
      <c r="G497" s="505"/>
    </row>
    <row r="498" spans="1:7" s="506" customFormat="1" ht="18.75" customHeight="1" hidden="1">
      <c r="A498" s="534"/>
      <c r="B498" s="501"/>
      <c r="C498" s="548" t="s">
        <v>978</v>
      </c>
      <c r="D498" s="503">
        <v>0</v>
      </c>
      <c r="E498" s="503">
        <v>0</v>
      </c>
      <c r="F498" s="504" t="e">
        <f>E498/D498*100</f>
        <v>#DIV/0!</v>
      </c>
      <c r="G498" s="505"/>
    </row>
    <row r="499" spans="1:7" s="506" customFormat="1" ht="19.5" customHeight="1" hidden="1">
      <c r="A499" s="534"/>
      <c r="B499" s="501"/>
      <c r="C499" s="502"/>
      <c r="D499" s="503"/>
      <c r="E499" s="503"/>
      <c r="F499" s="504"/>
      <c r="G499" s="505"/>
    </row>
    <row r="500" spans="1:7" s="499" customFormat="1" ht="18.75" customHeight="1" hidden="1">
      <c r="A500" s="494"/>
      <c r="B500" s="495"/>
      <c r="C500" s="496" t="s">
        <v>979</v>
      </c>
      <c r="D500" s="360">
        <f>SUM(D501,D502)</f>
        <v>0</v>
      </c>
      <c r="E500" s="360">
        <f>SUM(E501,E502)</f>
        <v>0</v>
      </c>
      <c r="F500" s="497" t="e">
        <f t="shared" si="27"/>
        <v>#DIV/0!</v>
      </c>
      <c r="G500" s="498"/>
    </row>
    <row r="501" spans="1:7" s="506" customFormat="1" ht="26.25" customHeight="1" hidden="1">
      <c r="A501" s="500"/>
      <c r="B501" s="501"/>
      <c r="C501" s="502" t="s">
        <v>251</v>
      </c>
      <c r="D501" s="503">
        <v>0</v>
      </c>
      <c r="E501" s="503">
        <v>0</v>
      </c>
      <c r="F501" s="504" t="e">
        <f t="shared" si="27"/>
        <v>#DIV/0!</v>
      </c>
      <c r="G501" s="505"/>
    </row>
    <row r="502" spans="1:7" s="506" customFormat="1" ht="19.5" customHeight="1" hidden="1">
      <c r="A502" s="534"/>
      <c r="B502" s="501"/>
      <c r="C502" s="502"/>
      <c r="D502" s="503"/>
      <c r="E502" s="503"/>
      <c r="F502" s="504"/>
      <c r="G502" s="505"/>
    </row>
    <row r="503" spans="1:7" s="506" customFormat="1" ht="18.75" customHeight="1">
      <c r="A503" s="535"/>
      <c r="B503" s="488" t="s">
        <v>714</v>
      </c>
      <c r="C503" s="489" t="s">
        <v>176</v>
      </c>
      <c r="D503" s="490">
        <f>SUM(D504,D510)</f>
        <v>1302392</v>
      </c>
      <c r="E503" s="490">
        <f>SUM(E504,E510)</f>
        <v>544154.76</v>
      </c>
      <c r="F503" s="491">
        <f t="shared" si="27"/>
        <v>41.78118108833592</v>
      </c>
      <c r="G503" s="505"/>
    </row>
    <row r="504" spans="1:7" s="499" customFormat="1" ht="18.75" customHeight="1">
      <c r="A504" s="494"/>
      <c r="B504" s="495"/>
      <c r="C504" s="496" t="s">
        <v>838</v>
      </c>
      <c r="D504" s="360">
        <f>SUM(D505,D508,D509)</f>
        <v>1242392</v>
      </c>
      <c r="E504" s="360">
        <f>SUM(E505,E508,E509)</f>
        <v>544154.76</v>
      </c>
      <c r="F504" s="497">
        <f t="shared" si="27"/>
        <v>43.79895878273524</v>
      </c>
      <c r="G504" s="498"/>
    </row>
    <row r="505" spans="1:7" s="506" customFormat="1" ht="18" customHeight="1">
      <c r="A505" s="500"/>
      <c r="B505" s="501"/>
      <c r="C505" s="502" t="s">
        <v>976</v>
      </c>
      <c r="D505" s="503">
        <f>SUM(D507,D506)</f>
        <v>96792</v>
      </c>
      <c r="E505" s="503">
        <f>SUM(E507,E506)</f>
        <v>6751.76</v>
      </c>
      <c r="F505" s="504">
        <f t="shared" si="27"/>
        <v>6.975535168195719</v>
      </c>
      <c r="G505" s="505"/>
    </row>
    <row r="506" spans="1:7" s="512" customFormat="1" ht="18.75" customHeight="1">
      <c r="A506" s="507"/>
      <c r="B506" s="508"/>
      <c r="C506" s="509" t="s">
        <v>1096</v>
      </c>
      <c r="D506" s="510">
        <v>4792</v>
      </c>
      <c r="E506" s="510">
        <v>0</v>
      </c>
      <c r="F506" s="511">
        <f t="shared" si="27"/>
        <v>0</v>
      </c>
      <c r="G506" s="505"/>
    </row>
    <row r="507" spans="1:7" s="512" customFormat="1" ht="18.75" customHeight="1">
      <c r="A507" s="507"/>
      <c r="B507" s="508"/>
      <c r="C507" s="509" t="s">
        <v>977</v>
      </c>
      <c r="D507" s="510">
        <v>92000</v>
      </c>
      <c r="E507" s="510">
        <v>6751.76</v>
      </c>
      <c r="F507" s="511">
        <f t="shared" si="27"/>
        <v>7.338869565217392</v>
      </c>
      <c r="G507" s="505"/>
    </row>
    <row r="508" spans="1:7" s="506" customFormat="1" ht="18.75" customHeight="1">
      <c r="A508" s="534"/>
      <c r="B508" s="501"/>
      <c r="C508" s="548" t="s">
        <v>978</v>
      </c>
      <c r="D508" s="503">
        <v>1109600</v>
      </c>
      <c r="E508" s="503">
        <v>537403</v>
      </c>
      <c r="F508" s="504">
        <f t="shared" si="27"/>
        <v>48.4321377072819</v>
      </c>
      <c r="G508" s="505"/>
    </row>
    <row r="509" spans="1:7" s="506" customFormat="1" ht="18.75" customHeight="1">
      <c r="A509" s="534"/>
      <c r="B509" s="501"/>
      <c r="C509" s="548" t="s">
        <v>989</v>
      </c>
      <c r="D509" s="503">
        <v>36000</v>
      </c>
      <c r="E509" s="503">
        <v>0</v>
      </c>
      <c r="F509" s="504">
        <f>E509/D509*100</f>
        <v>0</v>
      </c>
      <c r="G509" s="550" t="s">
        <v>883</v>
      </c>
    </row>
    <row r="510" spans="1:7" s="499" customFormat="1" ht="18.75" customHeight="1">
      <c r="A510" s="494"/>
      <c r="B510" s="495"/>
      <c r="C510" s="496" t="s">
        <v>979</v>
      </c>
      <c r="D510" s="360">
        <f>SUM(D511,D512)</f>
        <v>60000</v>
      </c>
      <c r="E510" s="360">
        <f>SUM(E511,E512)</f>
        <v>0</v>
      </c>
      <c r="F510" s="497">
        <f>E510/D510*100</f>
        <v>0</v>
      </c>
      <c r="G510" s="498"/>
    </row>
    <row r="511" spans="1:7" s="506" customFormat="1" ht="26.25" customHeight="1">
      <c r="A511" s="500"/>
      <c r="B511" s="501"/>
      <c r="C511" s="502" t="s">
        <v>251</v>
      </c>
      <c r="D511" s="503">
        <v>30000</v>
      </c>
      <c r="E511" s="503">
        <v>0</v>
      </c>
      <c r="F511" s="504">
        <f>E511/D511*100</f>
        <v>0</v>
      </c>
      <c r="G511" s="505"/>
    </row>
    <row r="512" spans="1:7" s="506" customFormat="1" ht="18.75" customHeight="1">
      <c r="A512" s="534"/>
      <c r="B512" s="501"/>
      <c r="C512" s="548" t="s">
        <v>989</v>
      </c>
      <c r="D512" s="503">
        <v>30000</v>
      </c>
      <c r="E512" s="503">
        <v>0</v>
      </c>
      <c r="F512" s="504">
        <f>E512/D512*100</f>
        <v>0</v>
      </c>
      <c r="G512" s="505"/>
    </row>
    <row r="513" spans="1:7" s="506" customFormat="1" ht="25.5" customHeight="1">
      <c r="A513" s="536" t="s">
        <v>35</v>
      </c>
      <c r="B513" s="481"/>
      <c r="C513" s="482" t="s">
        <v>38</v>
      </c>
      <c r="D513" s="483">
        <f>SUM(D514,D522,D530,D536,D540)</f>
        <v>1310404</v>
      </c>
      <c r="E513" s="483">
        <f>SUM(E514,E522,E530,E536,E540)</f>
        <v>583111.9</v>
      </c>
      <c r="F513" s="484">
        <f t="shared" si="27"/>
        <v>44.498635535300565</v>
      </c>
      <c r="G513" s="505"/>
    </row>
    <row r="514" spans="1:7" s="506" customFormat="1" ht="18.75" customHeight="1">
      <c r="A514" s="535"/>
      <c r="B514" s="488" t="s">
        <v>715</v>
      </c>
      <c r="C514" s="489" t="s">
        <v>716</v>
      </c>
      <c r="D514" s="490">
        <f>SUM(D515,D520)</f>
        <v>1003565</v>
      </c>
      <c r="E514" s="490">
        <f>SUM(E515,E520)</f>
        <v>550334.9</v>
      </c>
      <c r="F514" s="491">
        <f t="shared" si="27"/>
        <v>54.83799255653595</v>
      </c>
      <c r="G514" s="505"/>
    </row>
    <row r="515" spans="1:7" s="499" customFormat="1" ht="18.75" customHeight="1">
      <c r="A515" s="494"/>
      <c r="B515" s="495"/>
      <c r="C515" s="496" t="s">
        <v>838</v>
      </c>
      <c r="D515" s="360">
        <f>SUM(D516,D519)</f>
        <v>1003565</v>
      </c>
      <c r="E515" s="360">
        <f>SUM(E516,E519)</f>
        <v>550334.9</v>
      </c>
      <c r="F515" s="497">
        <f t="shared" si="27"/>
        <v>54.83799255653595</v>
      </c>
      <c r="G515" s="498"/>
    </row>
    <row r="516" spans="1:7" s="506" customFormat="1" ht="18" customHeight="1">
      <c r="A516" s="500"/>
      <c r="B516" s="501"/>
      <c r="C516" s="502" t="s">
        <v>976</v>
      </c>
      <c r="D516" s="503">
        <f>SUM(D518,D517)</f>
        <v>1003565</v>
      </c>
      <c r="E516" s="503">
        <f>SUM(E518,E517)</f>
        <v>550334.9</v>
      </c>
      <c r="F516" s="504">
        <f t="shared" si="27"/>
        <v>54.83799255653595</v>
      </c>
      <c r="G516" s="505"/>
    </row>
    <row r="517" spans="1:7" s="512" customFormat="1" ht="18.75" customHeight="1">
      <c r="A517" s="507"/>
      <c r="B517" s="508"/>
      <c r="C517" s="509" t="s">
        <v>1096</v>
      </c>
      <c r="D517" s="510">
        <v>904399</v>
      </c>
      <c r="E517" s="510">
        <v>498012.19</v>
      </c>
      <c r="F517" s="511">
        <f t="shared" si="27"/>
        <v>55.06553965672231</v>
      </c>
      <c r="G517" s="505"/>
    </row>
    <row r="518" spans="1:7" s="512" customFormat="1" ht="18.75" customHeight="1">
      <c r="A518" s="507"/>
      <c r="B518" s="508"/>
      <c r="C518" s="509" t="s">
        <v>977</v>
      </c>
      <c r="D518" s="510">
        <v>99166</v>
      </c>
      <c r="E518" s="510">
        <v>52322.71</v>
      </c>
      <c r="F518" s="511">
        <f t="shared" si="27"/>
        <v>52.76275134622753</v>
      </c>
      <c r="G518" s="505"/>
    </row>
    <row r="519" spans="1:7" s="506" customFormat="1" ht="18.75" customHeight="1" hidden="1">
      <c r="A519" s="534"/>
      <c r="B519" s="501"/>
      <c r="C519" s="548" t="s">
        <v>982</v>
      </c>
      <c r="D519" s="503">
        <v>0</v>
      </c>
      <c r="E519" s="503">
        <v>0</v>
      </c>
      <c r="F519" s="504" t="e">
        <f>E519/D519*100</f>
        <v>#DIV/0!</v>
      </c>
      <c r="G519" s="505"/>
    </row>
    <row r="520" spans="1:7" s="506" customFormat="1" ht="18.75" customHeight="1" hidden="1">
      <c r="A520" s="534"/>
      <c r="B520" s="501"/>
      <c r="C520" s="496" t="s">
        <v>979</v>
      </c>
      <c r="D520" s="360">
        <f>SUM(D521)</f>
        <v>0</v>
      </c>
      <c r="E520" s="360">
        <f>SUM(E521)</f>
        <v>0</v>
      </c>
      <c r="F520" s="497" t="e">
        <f>E520/D520*100</f>
        <v>#DIV/0!</v>
      </c>
      <c r="G520" s="505"/>
    </row>
    <row r="521" spans="1:7" s="506" customFormat="1" ht="24.75" customHeight="1" hidden="1">
      <c r="A521" s="534"/>
      <c r="B521" s="501"/>
      <c r="C521" s="502" t="s">
        <v>251</v>
      </c>
      <c r="D521" s="503">
        <v>0</v>
      </c>
      <c r="E521" s="503">
        <v>0</v>
      </c>
      <c r="F521" s="504" t="e">
        <f>E521/D521*100</f>
        <v>#DIV/0!</v>
      </c>
      <c r="G521" s="505"/>
    </row>
    <row r="522" spans="1:8" s="540" customFormat="1" ht="18.75" customHeight="1" hidden="1">
      <c r="A522" s="535"/>
      <c r="B522" s="488" t="s">
        <v>83</v>
      </c>
      <c r="C522" s="531" t="s">
        <v>377</v>
      </c>
      <c r="D522" s="490">
        <f>SUM(D523,D528)</f>
        <v>0</v>
      </c>
      <c r="E522" s="490">
        <f>SUM(E523,E528)</f>
        <v>0</v>
      </c>
      <c r="F522" s="491" t="e">
        <f t="shared" si="27"/>
        <v>#DIV/0!</v>
      </c>
      <c r="G522" s="505"/>
      <c r="H522" s="506"/>
    </row>
    <row r="523" spans="1:7" s="499" customFormat="1" ht="18.75" customHeight="1" hidden="1">
      <c r="A523" s="494"/>
      <c r="B523" s="495"/>
      <c r="C523" s="496" t="s">
        <v>838</v>
      </c>
      <c r="D523" s="360">
        <f>SUM(D524,D527)</f>
        <v>0</v>
      </c>
      <c r="E523" s="360">
        <f>SUM(E524,E527)</f>
        <v>0</v>
      </c>
      <c r="F523" s="497" t="e">
        <f t="shared" si="27"/>
        <v>#DIV/0!</v>
      </c>
      <c r="G523" s="498"/>
    </row>
    <row r="524" spans="1:7" s="506" customFormat="1" ht="18" customHeight="1" hidden="1">
      <c r="A524" s="500"/>
      <c r="B524" s="501"/>
      <c r="C524" s="502" t="s">
        <v>976</v>
      </c>
      <c r="D524" s="503">
        <f>SUM(D526,D525)</f>
        <v>0</v>
      </c>
      <c r="E524" s="503">
        <f>SUM(E526,E525)</f>
        <v>0</v>
      </c>
      <c r="F524" s="504" t="e">
        <f t="shared" si="27"/>
        <v>#DIV/0!</v>
      </c>
      <c r="G524" s="505"/>
    </row>
    <row r="525" spans="1:7" s="512" customFormat="1" ht="18.75" customHeight="1" hidden="1">
      <c r="A525" s="507"/>
      <c r="B525" s="508"/>
      <c r="C525" s="509" t="s">
        <v>1096</v>
      </c>
      <c r="D525" s="510">
        <v>0</v>
      </c>
      <c r="E525" s="510">
        <v>0</v>
      </c>
      <c r="F525" s="511" t="e">
        <f t="shared" si="27"/>
        <v>#DIV/0!</v>
      </c>
      <c r="G525" s="505"/>
    </row>
    <row r="526" spans="1:7" s="512" customFormat="1" ht="18.75" customHeight="1" hidden="1">
      <c r="A526" s="507"/>
      <c r="B526" s="508"/>
      <c r="C526" s="509" t="s">
        <v>977</v>
      </c>
      <c r="D526" s="510">
        <v>0</v>
      </c>
      <c r="E526" s="510">
        <v>0</v>
      </c>
      <c r="F526" s="511" t="e">
        <f t="shared" si="27"/>
        <v>#DIV/0!</v>
      </c>
      <c r="G526" s="505"/>
    </row>
    <row r="527" spans="1:7" s="506" customFormat="1" ht="18.75" customHeight="1" hidden="1">
      <c r="A527" s="534"/>
      <c r="B527" s="501"/>
      <c r="C527" s="548" t="s">
        <v>982</v>
      </c>
      <c r="D527" s="503">
        <v>0</v>
      </c>
      <c r="E527" s="503">
        <v>0</v>
      </c>
      <c r="F527" s="504" t="e">
        <f t="shared" si="27"/>
        <v>#DIV/0!</v>
      </c>
      <c r="G527" s="505"/>
    </row>
    <row r="528" spans="1:7" s="499" customFormat="1" ht="18.75" customHeight="1" hidden="1">
      <c r="A528" s="494"/>
      <c r="B528" s="495"/>
      <c r="C528" s="496" t="s">
        <v>979</v>
      </c>
      <c r="D528" s="360">
        <f>SUM(D529)</f>
        <v>0</v>
      </c>
      <c r="E528" s="360">
        <f>SUM(E529)</f>
        <v>0</v>
      </c>
      <c r="F528" s="497" t="e">
        <f t="shared" si="27"/>
        <v>#DIV/0!</v>
      </c>
      <c r="G528" s="498"/>
    </row>
    <row r="529" spans="1:7" s="506" customFormat="1" ht="26.25" customHeight="1" hidden="1">
      <c r="A529" s="500"/>
      <c r="B529" s="501"/>
      <c r="C529" s="502" t="s">
        <v>251</v>
      </c>
      <c r="D529" s="503">
        <v>0</v>
      </c>
      <c r="E529" s="503">
        <v>0</v>
      </c>
      <c r="F529" s="504" t="e">
        <f t="shared" si="27"/>
        <v>#DIV/0!</v>
      </c>
      <c r="G529" s="505"/>
    </row>
    <row r="530" spans="1:8" s="540" customFormat="1" ht="27.75" customHeight="1">
      <c r="A530" s="535"/>
      <c r="B530" s="488" t="s">
        <v>86</v>
      </c>
      <c r="C530" s="489" t="s">
        <v>1584</v>
      </c>
      <c r="D530" s="490">
        <f>SUM(D531)</f>
        <v>228978</v>
      </c>
      <c r="E530" s="490">
        <f>SUM(E531)</f>
        <v>31606</v>
      </c>
      <c r="F530" s="491">
        <f t="shared" si="27"/>
        <v>13.803072784284954</v>
      </c>
      <c r="G530" s="505"/>
      <c r="H530" s="506"/>
    </row>
    <row r="531" spans="1:7" s="499" customFormat="1" ht="18.75" customHeight="1">
      <c r="A531" s="494"/>
      <c r="B531" s="495"/>
      <c r="C531" s="496" t="s">
        <v>838</v>
      </c>
      <c r="D531" s="360">
        <f>SUM(D532,D534,D535)</f>
        <v>228978</v>
      </c>
      <c r="E531" s="360">
        <f>SUM(E532,E534,E535)</f>
        <v>31606</v>
      </c>
      <c r="F531" s="497">
        <f t="shared" si="27"/>
        <v>13.803072784284954</v>
      </c>
      <c r="G531" s="498"/>
    </row>
    <row r="532" spans="1:7" s="506" customFormat="1" ht="18" customHeight="1">
      <c r="A532" s="500"/>
      <c r="B532" s="501"/>
      <c r="C532" s="502" t="s">
        <v>976</v>
      </c>
      <c r="D532" s="503">
        <f>SUM(D533)</f>
        <v>5900</v>
      </c>
      <c r="E532" s="503">
        <f>SUM(E533)</f>
        <v>0</v>
      </c>
      <c r="F532" s="504">
        <f>E532/D532*100</f>
        <v>0</v>
      </c>
      <c r="G532" s="505"/>
    </row>
    <row r="533" spans="1:7" s="512" customFormat="1" ht="18.75" customHeight="1">
      <c r="A533" s="507"/>
      <c r="B533" s="508"/>
      <c r="C533" s="509" t="s">
        <v>977</v>
      </c>
      <c r="D533" s="510">
        <v>5900</v>
      </c>
      <c r="E533" s="510">
        <v>0</v>
      </c>
      <c r="F533" s="511">
        <f>E533/D533*100</f>
        <v>0</v>
      </c>
      <c r="G533" s="505"/>
    </row>
    <row r="534" spans="1:7" s="506" customFormat="1" ht="18.75" customHeight="1">
      <c r="A534" s="534"/>
      <c r="B534" s="501"/>
      <c r="C534" s="548" t="s">
        <v>982</v>
      </c>
      <c r="D534" s="503">
        <v>223078</v>
      </c>
      <c r="E534" s="503">
        <v>31606</v>
      </c>
      <c r="F534" s="504">
        <f t="shared" si="27"/>
        <v>14.16813849864173</v>
      </c>
      <c r="G534" s="505"/>
    </row>
    <row r="535" spans="1:7" s="506" customFormat="1" ht="18.75" customHeight="1" hidden="1">
      <c r="A535" s="534"/>
      <c r="B535" s="501"/>
      <c r="C535" s="548" t="s">
        <v>978</v>
      </c>
      <c r="D535" s="503">
        <v>0</v>
      </c>
      <c r="E535" s="503">
        <v>0</v>
      </c>
      <c r="F535" s="504" t="e">
        <f>E535/D535*100</f>
        <v>#DIV/0!</v>
      </c>
      <c r="G535" s="505"/>
    </row>
    <row r="536" spans="1:8" s="540" customFormat="1" ht="18.75" customHeight="1">
      <c r="A536" s="535"/>
      <c r="B536" s="488" t="s">
        <v>381</v>
      </c>
      <c r="C536" s="531" t="s">
        <v>1148</v>
      </c>
      <c r="D536" s="490">
        <f>D539</f>
        <v>7663</v>
      </c>
      <c r="E536" s="490">
        <f>E539</f>
        <v>400</v>
      </c>
      <c r="F536" s="491">
        <f t="shared" si="27"/>
        <v>5.219887772412893</v>
      </c>
      <c r="G536" s="505"/>
      <c r="H536" s="506"/>
    </row>
    <row r="537" spans="1:7" s="499" customFormat="1" ht="18.75" customHeight="1">
      <c r="A537" s="494"/>
      <c r="B537" s="495"/>
      <c r="C537" s="496" t="s">
        <v>838</v>
      </c>
      <c r="D537" s="360">
        <f>SUM(D538)</f>
        <v>7663</v>
      </c>
      <c r="E537" s="360">
        <f>SUM(E538)</f>
        <v>400</v>
      </c>
      <c r="F537" s="497">
        <f t="shared" si="27"/>
        <v>5.219887772412893</v>
      </c>
      <c r="G537" s="498"/>
    </row>
    <row r="538" spans="1:7" s="506" customFormat="1" ht="18" customHeight="1">
      <c r="A538" s="500"/>
      <c r="B538" s="501"/>
      <c r="C538" s="502" t="s">
        <v>976</v>
      </c>
      <c r="D538" s="503">
        <f>SUM(D539)</f>
        <v>7663</v>
      </c>
      <c r="E538" s="503">
        <f>SUM(E539)</f>
        <v>400</v>
      </c>
      <c r="F538" s="504">
        <f t="shared" si="27"/>
        <v>5.219887772412893</v>
      </c>
      <c r="G538" s="505"/>
    </row>
    <row r="539" spans="1:7" s="512" customFormat="1" ht="18.75" customHeight="1">
      <c r="A539" s="507"/>
      <c r="B539" s="508"/>
      <c r="C539" s="509" t="s">
        <v>977</v>
      </c>
      <c r="D539" s="510">
        <v>7663</v>
      </c>
      <c r="E539" s="510">
        <v>400</v>
      </c>
      <c r="F539" s="511">
        <f t="shared" si="27"/>
        <v>5.219887772412893</v>
      </c>
      <c r="G539" s="505"/>
    </row>
    <row r="540" spans="1:8" s="540" customFormat="1" ht="18.75" customHeight="1">
      <c r="A540" s="535"/>
      <c r="B540" s="488" t="s">
        <v>382</v>
      </c>
      <c r="C540" s="531" t="s">
        <v>176</v>
      </c>
      <c r="D540" s="490">
        <f>D541</f>
        <v>70198</v>
      </c>
      <c r="E540" s="490">
        <f>E541</f>
        <v>771</v>
      </c>
      <c r="F540" s="491">
        <f aca="true" t="shared" si="28" ref="F540:F553">E540/D540*100</f>
        <v>1.0983218895125217</v>
      </c>
      <c r="G540" s="505"/>
      <c r="H540" s="506"/>
    </row>
    <row r="541" spans="1:7" s="499" customFormat="1" ht="18.75" customHeight="1">
      <c r="A541" s="494"/>
      <c r="B541" s="495"/>
      <c r="C541" s="496" t="s">
        <v>838</v>
      </c>
      <c r="D541" s="360">
        <f>SUM(D542,D545)</f>
        <v>70198</v>
      </c>
      <c r="E541" s="360">
        <f>SUM(E542,E545)</f>
        <v>771</v>
      </c>
      <c r="F541" s="497">
        <f t="shared" si="28"/>
        <v>1.0983218895125217</v>
      </c>
      <c r="G541" s="498"/>
    </row>
    <row r="542" spans="1:7" s="506" customFormat="1" ht="18" customHeight="1">
      <c r="A542" s="500"/>
      <c r="B542" s="501"/>
      <c r="C542" s="502" t="s">
        <v>976</v>
      </c>
      <c r="D542" s="503">
        <f>SUM(D544,D543)</f>
        <v>67900</v>
      </c>
      <c r="E542" s="503">
        <f>SUM(E544,E543)</f>
        <v>0</v>
      </c>
      <c r="F542" s="504">
        <f t="shared" si="28"/>
        <v>0</v>
      </c>
      <c r="G542" s="505"/>
    </row>
    <row r="543" spans="1:7" s="512" customFormat="1" ht="18.75" customHeight="1">
      <c r="A543" s="507"/>
      <c r="B543" s="508"/>
      <c r="C543" s="509" t="s">
        <v>1096</v>
      </c>
      <c r="D543" s="510">
        <v>67900</v>
      </c>
      <c r="E543" s="510">
        <v>0</v>
      </c>
      <c r="F543" s="511">
        <f t="shared" si="28"/>
        <v>0</v>
      </c>
      <c r="G543" s="505"/>
    </row>
    <row r="544" spans="1:7" s="512" customFormat="1" ht="18.75" customHeight="1" hidden="1">
      <c r="A544" s="507"/>
      <c r="B544" s="508"/>
      <c r="C544" s="509" t="s">
        <v>977</v>
      </c>
      <c r="D544" s="510">
        <v>0</v>
      </c>
      <c r="E544" s="510">
        <v>0</v>
      </c>
      <c r="F544" s="511" t="e">
        <f t="shared" si="28"/>
        <v>#DIV/0!</v>
      </c>
      <c r="G544" s="505"/>
    </row>
    <row r="545" spans="1:7" s="506" customFormat="1" ht="18.75" customHeight="1">
      <c r="A545" s="534"/>
      <c r="B545" s="501"/>
      <c r="C545" s="548" t="s">
        <v>982</v>
      </c>
      <c r="D545" s="503">
        <v>2298</v>
      </c>
      <c r="E545" s="503">
        <v>771</v>
      </c>
      <c r="F545" s="504">
        <f t="shared" si="28"/>
        <v>33.5509138381201</v>
      </c>
      <c r="G545" s="505"/>
    </row>
    <row r="546" spans="1:7" s="486" customFormat="1" ht="18.75" customHeight="1">
      <c r="A546" s="536" t="s">
        <v>1430</v>
      </c>
      <c r="B546" s="481"/>
      <c r="C546" s="1389" t="s">
        <v>1444</v>
      </c>
      <c r="D546" s="483">
        <f>SUM(D547,D554,D561,D565,D571)</f>
        <v>23495931</v>
      </c>
      <c r="E546" s="483">
        <f>SUM(E547,E554,E561,E565,E571)</f>
        <v>12743695.92</v>
      </c>
      <c r="F546" s="484">
        <f t="shared" si="28"/>
        <v>54.23788450859853</v>
      </c>
      <c r="G546" s="485"/>
    </row>
    <row r="547" spans="1:7" s="493" customFormat="1" ht="18.75" customHeight="1">
      <c r="A547" s="535"/>
      <c r="B547" s="488" t="s">
        <v>1432</v>
      </c>
      <c r="C547" s="549" t="s">
        <v>1330</v>
      </c>
      <c r="D547" s="490">
        <f>SUM(D548)</f>
        <v>12884000</v>
      </c>
      <c r="E547" s="490">
        <f>SUM(E548)</f>
        <v>7251948.35</v>
      </c>
      <c r="F547" s="491">
        <f t="shared" si="28"/>
        <v>56.286466547656</v>
      </c>
      <c r="G547" s="492"/>
    </row>
    <row r="548" spans="1:7" s="499" customFormat="1" ht="18.75" customHeight="1">
      <c r="A548" s="494"/>
      <c r="B548" s="495"/>
      <c r="C548" s="496" t="s">
        <v>838</v>
      </c>
      <c r="D548" s="360">
        <f>SUM(D549,D552,D553)</f>
        <v>12884000</v>
      </c>
      <c r="E548" s="360">
        <f>SUM(E549,E552,E553)</f>
        <v>7251948.35</v>
      </c>
      <c r="F548" s="497">
        <f t="shared" si="28"/>
        <v>56.286466547656</v>
      </c>
      <c r="G548" s="498"/>
    </row>
    <row r="549" spans="1:7" s="506" customFormat="1" ht="18" customHeight="1">
      <c r="A549" s="500"/>
      <c r="B549" s="501"/>
      <c r="C549" s="502" t="s">
        <v>976</v>
      </c>
      <c r="D549" s="503">
        <f>SUM(D551,D550)</f>
        <v>190000</v>
      </c>
      <c r="E549" s="503">
        <f>SUM(E551,E550)</f>
        <v>90715.25</v>
      </c>
      <c r="F549" s="504">
        <f t="shared" si="28"/>
        <v>47.74486842105263</v>
      </c>
      <c r="G549" s="505"/>
    </row>
    <row r="550" spans="1:7" s="512" customFormat="1" ht="18.75" customHeight="1">
      <c r="A550" s="507"/>
      <c r="B550" s="508"/>
      <c r="C550" s="509" t="s">
        <v>1096</v>
      </c>
      <c r="D550" s="510">
        <v>165588</v>
      </c>
      <c r="E550" s="510">
        <v>77693.41</v>
      </c>
      <c r="F550" s="511">
        <f t="shared" si="28"/>
        <v>46.91971036548542</v>
      </c>
      <c r="G550" s="505"/>
    </row>
    <row r="551" spans="1:7" s="512" customFormat="1" ht="18.75" customHeight="1">
      <c r="A551" s="507"/>
      <c r="B551" s="508"/>
      <c r="C551" s="509" t="s">
        <v>977</v>
      </c>
      <c r="D551" s="510">
        <v>24412</v>
      </c>
      <c r="E551" s="510">
        <v>13021.84</v>
      </c>
      <c r="F551" s="511">
        <f t="shared" si="28"/>
        <v>53.34196296903162</v>
      </c>
      <c r="G551" s="505"/>
    </row>
    <row r="552" spans="1:7" s="506" customFormat="1" ht="18.75" customHeight="1">
      <c r="A552" s="534"/>
      <c r="B552" s="501"/>
      <c r="C552" s="548" t="s">
        <v>978</v>
      </c>
      <c r="D552" s="503">
        <v>6000</v>
      </c>
      <c r="E552" s="503">
        <v>0</v>
      </c>
      <c r="F552" s="504">
        <f t="shared" si="28"/>
        <v>0</v>
      </c>
      <c r="G552" s="505"/>
    </row>
    <row r="553" spans="1:7" s="506" customFormat="1" ht="18.75" customHeight="1">
      <c r="A553" s="534"/>
      <c r="B553" s="501"/>
      <c r="C553" s="548" t="s">
        <v>982</v>
      </c>
      <c r="D553" s="503">
        <v>12688000</v>
      </c>
      <c r="E553" s="503">
        <v>7161233.1</v>
      </c>
      <c r="F553" s="504">
        <f t="shared" si="28"/>
        <v>56.440992276166455</v>
      </c>
      <c r="G553" s="550"/>
    </row>
    <row r="554" spans="1:7" s="493" customFormat="1" ht="45.75" customHeight="1">
      <c r="A554" s="535"/>
      <c r="B554" s="488" t="s">
        <v>1437</v>
      </c>
      <c r="C554" s="549" t="s">
        <v>854</v>
      </c>
      <c r="D554" s="490">
        <f>SUM(D555)</f>
        <v>7603208</v>
      </c>
      <c r="E554" s="490">
        <f>SUM(E555)</f>
        <v>3997409.13</v>
      </c>
      <c r="F554" s="491">
        <f aca="true" t="shared" si="29" ref="F554:F560">E554/D554*100</f>
        <v>52.575296243375156</v>
      </c>
      <c r="G554" s="492"/>
    </row>
    <row r="555" spans="1:7" s="499" customFormat="1" ht="18.75" customHeight="1">
      <c r="A555" s="494"/>
      <c r="B555" s="495"/>
      <c r="C555" s="496" t="s">
        <v>838</v>
      </c>
      <c r="D555" s="360">
        <f>SUM(D556,D559,D560)</f>
        <v>7603208</v>
      </c>
      <c r="E555" s="360">
        <f>SUM(E556,E559,E560)</f>
        <v>3997409.13</v>
      </c>
      <c r="F555" s="497">
        <f t="shared" si="29"/>
        <v>52.575296243375156</v>
      </c>
      <c r="G555" s="498"/>
    </row>
    <row r="556" spans="1:7" s="506" customFormat="1" ht="18" customHeight="1">
      <c r="A556" s="500"/>
      <c r="B556" s="501"/>
      <c r="C556" s="502" t="s">
        <v>976</v>
      </c>
      <c r="D556" s="503">
        <f>SUM(D558,D557)</f>
        <v>763778</v>
      </c>
      <c r="E556" s="503">
        <f>SUM(E558,E557)</f>
        <v>425282.47</v>
      </c>
      <c r="F556" s="504">
        <f t="shared" si="29"/>
        <v>55.68142444532312</v>
      </c>
      <c r="G556" s="505"/>
    </row>
    <row r="557" spans="1:7" s="512" customFormat="1" ht="18.75" customHeight="1">
      <c r="A557" s="507"/>
      <c r="B557" s="508"/>
      <c r="C557" s="509" t="s">
        <v>1096</v>
      </c>
      <c r="D557" s="510">
        <v>705417</v>
      </c>
      <c r="E557" s="510">
        <v>401912.42</v>
      </c>
      <c r="F557" s="511">
        <f t="shared" si="29"/>
        <v>56.9751537034123</v>
      </c>
      <c r="G557" s="505"/>
    </row>
    <row r="558" spans="1:7" s="512" customFormat="1" ht="18.75" customHeight="1">
      <c r="A558" s="507"/>
      <c r="B558" s="508"/>
      <c r="C558" s="509" t="s">
        <v>977</v>
      </c>
      <c r="D558" s="510">
        <v>58361</v>
      </c>
      <c r="E558" s="510">
        <v>23370.05</v>
      </c>
      <c r="F558" s="511">
        <f t="shared" si="29"/>
        <v>40.04395058343757</v>
      </c>
      <c r="G558" s="505"/>
    </row>
    <row r="559" spans="1:7" s="506" customFormat="1" ht="18.75" customHeight="1">
      <c r="A559" s="534"/>
      <c r="B559" s="501"/>
      <c r="C559" s="548" t="s">
        <v>978</v>
      </c>
      <c r="D559" s="503">
        <v>70000</v>
      </c>
      <c r="E559" s="503">
        <v>0</v>
      </c>
      <c r="F559" s="504">
        <f t="shared" si="29"/>
        <v>0</v>
      </c>
      <c r="G559" s="505"/>
    </row>
    <row r="560" spans="1:7" s="506" customFormat="1" ht="18.75" customHeight="1">
      <c r="A560" s="534"/>
      <c r="B560" s="501"/>
      <c r="C560" s="548" t="s">
        <v>982</v>
      </c>
      <c r="D560" s="503">
        <v>6769430</v>
      </c>
      <c r="E560" s="503">
        <v>3572126.66</v>
      </c>
      <c r="F560" s="504">
        <f t="shared" si="29"/>
        <v>52.76849985892461</v>
      </c>
      <c r="G560" s="550"/>
    </row>
    <row r="561" spans="1:7" s="493" customFormat="1" ht="18" customHeight="1">
      <c r="A561" s="535"/>
      <c r="B561" s="488" t="s">
        <v>1434</v>
      </c>
      <c r="C561" s="549" t="s">
        <v>1435</v>
      </c>
      <c r="D561" s="490">
        <f aca="true" t="shared" si="30" ref="D561:E563">SUM(D562)</f>
        <v>161</v>
      </c>
      <c r="E561" s="490">
        <f t="shared" si="30"/>
        <v>0</v>
      </c>
      <c r="F561" s="491">
        <f aca="true" t="shared" si="31" ref="F561:F570">E561/D561*100</f>
        <v>0</v>
      </c>
      <c r="G561" s="492"/>
    </row>
    <row r="562" spans="1:7" s="499" customFormat="1" ht="18.75" customHeight="1">
      <c r="A562" s="494"/>
      <c r="B562" s="495"/>
      <c r="C562" s="496" t="s">
        <v>838</v>
      </c>
      <c r="D562" s="360">
        <f t="shared" si="30"/>
        <v>161</v>
      </c>
      <c r="E562" s="360">
        <f t="shared" si="30"/>
        <v>0</v>
      </c>
      <c r="F562" s="497">
        <f t="shared" si="31"/>
        <v>0</v>
      </c>
      <c r="G562" s="498"/>
    </row>
    <row r="563" spans="1:7" s="506" customFormat="1" ht="18" customHeight="1">
      <c r="A563" s="500"/>
      <c r="B563" s="501"/>
      <c r="C563" s="502" t="s">
        <v>976</v>
      </c>
      <c r="D563" s="503">
        <f t="shared" si="30"/>
        <v>161</v>
      </c>
      <c r="E563" s="503">
        <f t="shared" si="30"/>
        <v>0</v>
      </c>
      <c r="F563" s="504">
        <f t="shared" si="31"/>
        <v>0</v>
      </c>
      <c r="G563" s="505"/>
    </row>
    <row r="564" spans="1:7" s="512" customFormat="1" ht="18.75" customHeight="1">
      <c r="A564" s="507"/>
      <c r="B564" s="508"/>
      <c r="C564" s="509" t="s">
        <v>1096</v>
      </c>
      <c r="D564" s="510">
        <v>161</v>
      </c>
      <c r="E564" s="510">
        <v>0</v>
      </c>
      <c r="F564" s="511">
        <f t="shared" si="31"/>
        <v>0</v>
      </c>
      <c r="G564" s="505"/>
    </row>
    <row r="565" spans="1:7" s="493" customFormat="1" ht="18.75" customHeight="1">
      <c r="A565" s="535"/>
      <c r="B565" s="488" t="s">
        <v>1436</v>
      </c>
      <c r="C565" s="549" t="s">
        <v>165</v>
      </c>
      <c r="D565" s="490">
        <f>SUM(D566)</f>
        <v>259070</v>
      </c>
      <c r="E565" s="490">
        <f>SUM(E566)</f>
        <v>128552.27</v>
      </c>
      <c r="F565" s="491">
        <f t="shared" si="31"/>
        <v>49.620670089165095</v>
      </c>
      <c r="G565" s="492"/>
    </row>
    <row r="566" spans="1:7" s="499" customFormat="1" ht="18.75" customHeight="1">
      <c r="A566" s="494"/>
      <c r="B566" s="495"/>
      <c r="C566" s="496" t="s">
        <v>838</v>
      </c>
      <c r="D566" s="360">
        <f>SUM(D567,D570)</f>
        <v>259070</v>
      </c>
      <c r="E566" s="360">
        <f>SUM(E567,E570)</f>
        <v>128552.27</v>
      </c>
      <c r="F566" s="497">
        <f t="shared" si="31"/>
        <v>49.620670089165095</v>
      </c>
      <c r="G566" s="498"/>
    </row>
    <row r="567" spans="1:7" s="506" customFormat="1" ht="18" customHeight="1">
      <c r="A567" s="500"/>
      <c r="B567" s="501"/>
      <c r="C567" s="502" t="s">
        <v>976</v>
      </c>
      <c r="D567" s="503">
        <f>SUM(D569,D568)</f>
        <v>257070</v>
      </c>
      <c r="E567" s="503">
        <f>SUM(E569,E568)</f>
        <v>128552.27</v>
      </c>
      <c r="F567" s="504">
        <f t="shared" si="31"/>
        <v>50.00671801454857</v>
      </c>
      <c r="G567" s="505"/>
    </row>
    <row r="568" spans="1:7" s="512" customFormat="1" ht="18.75" customHeight="1">
      <c r="A568" s="507"/>
      <c r="B568" s="508"/>
      <c r="C568" s="509" t="s">
        <v>1096</v>
      </c>
      <c r="D568" s="510">
        <v>240837</v>
      </c>
      <c r="E568" s="510">
        <v>119551.13</v>
      </c>
      <c r="F568" s="511">
        <f t="shared" si="31"/>
        <v>49.63985185000644</v>
      </c>
      <c r="G568" s="505"/>
    </row>
    <row r="569" spans="1:7" s="512" customFormat="1" ht="18.75" customHeight="1">
      <c r="A569" s="507"/>
      <c r="B569" s="508"/>
      <c r="C569" s="509" t="s">
        <v>977</v>
      </c>
      <c r="D569" s="510">
        <v>16233</v>
      </c>
      <c r="E569" s="510">
        <v>9001.14</v>
      </c>
      <c r="F569" s="511">
        <f t="shared" si="31"/>
        <v>55.4496396229902</v>
      </c>
      <c r="G569" s="505"/>
    </row>
    <row r="570" spans="1:7" s="506" customFormat="1" ht="18.75" customHeight="1">
      <c r="A570" s="534"/>
      <c r="B570" s="501"/>
      <c r="C570" s="548" t="s">
        <v>978</v>
      </c>
      <c r="D570" s="503">
        <v>2000</v>
      </c>
      <c r="E570" s="503">
        <v>0</v>
      </c>
      <c r="F570" s="504">
        <f t="shared" si="31"/>
        <v>0</v>
      </c>
      <c r="G570" s="505"/>
    </row>
    <row r="571" spans="1:7" s="493" customFormat="1" ht="18.75" customHeight="1">
      <c r="A571" s="535"/>
      <c r="B571" s="488" t="s">
        <v>1438</v>
      </c>
      <c r="C571" s="549" t="s">
        <v>1439</v>
      </c>
      <c r="D571" s="490">
        <f>SUM(D572)</f>
        <v>2749492</v>
      </c>
      <c r="E571" s="490">
        <f>SUM(E572)</f>
        <v>1365786.17</v>
      </c>
      <c r="F571" s="491">
        <f aca="true" t="shared" si="32" ref="F571:F577">E571/D571*100</f>
        <v>49.674127802517695</v>
      </c>
      <c r="G571" s="492"/>
    </row>
    <row r="572" spans="1:7" s="499" customFormat="1" ht="18.75" customHeight="1">
      <c r="A572" s="494"/>
      <c r="B572" s="495"/>
      <c r="C572" s="496" t="s">
        <v>838</v>
      </c>
      <c r="D572" s="360">
        <f>SUM(D573,D576,D577)</f>
        <v>2749492</v>
      </c>
      <c r="E572" s="360">
        <f>SUM(E573,E576,E577)</f>
        <v>1365786.17</v>
      </c>
      <c r="F572" s="497">
        <f t="shared" si="32"/>
        <v>49.674127802517695</v>
      </c>
      <c r="G572" s="498"/>
    </row>
    <row r="573" spans="1:7" s="506" customFormat="1" ht="18" customHeight="1">
      <c r="A573" s="500"/>
      <c r="B573" s="501"/>
      <c r="C573" s="502" t="s">
        <v>976</v>
      </c>
      <c r="D573" s="503">
        <f>SUM(D575,D574)</f>
        <v>2448972</v>
      </c>
      <c r="E573" s="503">
        <f>SUM(E575,E574)</f>
        <v>1215286.3699999999</v>
      </c>
      <c r="F573" s="504">
        <f t="shared" si="32"/>
        <v>49.62434727714322</v>
      </c>
      <c r="G573" s="505"/>
    </row>
    <row r="574" spans="1:7" s="512" customFormat="1" ht="18.75" customHeight="1">
      <c r="A574" s="507"/>
      <c r="B574" s="508"/>
      <c r="C574" s="509" t="s">
        <v>1096</v>
      </c>
      <c r="D574" s="510">
        <v>1932400</v>
      </c>
      <c r="E574" s="510">
        <v>953882.09</v>
      </c>
      <c r="F574" s="511">
        <f t="shared" si="32"/>
        <v>49.362558993997105</v>
      </c>
      <c r="G574" s="505"/>
    </row>
    <row r="575" spans="1:7" s="512" customFormat="1" ht="18.75" customHeight="1">
      <c r="A575" s="507"/>
      <c r="B575" s="508"/>
      <c r="C575" s="509" t="s">
        <v>977</v>
      </c>
      <c r="D575" s="510">
        <v>516572</v>
      </c>
      <c r="E575" s="510">
        <v>261404.28</v>
      </c>
      <c r="F575" s="511">
        <f t="shared" si="32"/>
        <v>50.603648668530234</v>
      </c>
      <c r="G575" s="505"/>
    </row>
    <row r="576" spans="1:7" s="506" customFormat="1" ht="18.75" customHeight="1">
      <c r="A576" s="534"/>
      <c r="B576" s="501"/>
      <c r="C576" s="548" t="s">
        <v>978</v>
      </c>
      <c r="D576" s="503">
        <v>299520</v>
      </c>
      <c r="E576" s="503">
        <v>149760</v>
      </c>
      <c r="F576" s="504">
        <f t="shared" si="32"/>
        <v>50</v>
      </c>
      <c r="G576" s="505"/>
    </row>
    <row r="577" spans="1:7" s="506" customFormat="1" ht="18.75" customHeight="1">
      <c r="A577" s="534"/>
      <c r="B577" s="501"/>
      <c r="C577" s="548" t="s">
        <v>982</v>
      </c>
      <c r="D577" s="503">
        <v>1000</v>
      </c>
      <c r="E577" s="503">
        <v>739.8</v>
      </c>
      <c r="F577" s="504">
        <f t="shared" si="32"/>
        <v>73.97999999999999</v>
      </c>
      <c r="G577" s="550"/>
    </row>
    <row r="578" spans="1:7" s="506" customFormat="1" ht="27" customHeight="1">
      <c r="A578" s="536" t="s">
        <v>89</v>
      </c>
      <c r="B578" s="481"/>
      <c r="C578" s="482" t="s">
        <v>848</v>
      </c>
      <c r="D578" s="483">
        <f>SUM(D579,D587,D591,D599,D603,D610,D616,D619,D623)</f>
        <v>24684568</v>
      </c>
      <c r="E578" s="483">
        <f>SUM(E579,E587,E591,E599,E603,E610,E616,E619,E623)</f>
        <v>6726099.56</v>
      </c>
      <c r="F578" s="484">
        <f>E578/D578*100</f>
        <v>27.24819636300704</v>
      </c>
      <c r="G578" s="505"/>
    </row>
    <row r="579" spans="1:8" s="540" customFormat="1" ht="18.75" customHeight="1">
      <c r="A579" s="535"/>
      <c r="B579" s="488" t="s">
        <v>453</v>
      </c>
      <c r="C579" s="531" t="s">
        <v>454</v>
      </c>
      <c r="D579" s="490">
        <f>SUM(D580,D584)</f>
        <v>9130000</v>
      </c>
      <c r="E579" s="490">
        <f>SUM(E580,E584)</f>
        <v>2854849.36</v>
      </c>
      <c r="F579" s="491">
        <f aca="true" t="shared" si="33" ref="F579:F586">E579/D579*100</f>
        <v>31.26888674698795</v>
      </c>
      <c r="G579" s="1482"/>
      <c r="H579" s="506"/>
    </row>
    <row r="580" spans="1:7" s="499" customFormat="1" ht="18.75" customHeight="1">
      <c r="A580" s="494"/>
      <c r="B580" s="495"/>
      <c r="C580" s="496" t="s">
        <v>838</v>
      </c>
      <c r="D580" s="360">
        <f>SUM(D581)</f>
        <v>7730000</v>
      </c>
      <c r="E580" s="360">
        <f>SUM(E581)</f>
        <v>2839252.96</v>
      </c>
      <c r="F580" s="497">
        <f t="shared" si="33"/>
        <v>36.730309961190166</v>
      </c>
      <c r="G580" s="1482"/>
    </row>
    <row r="581" spans="1:7" s="506" customFormat="1" ht="18" customHeight="1">
      <c r="A581" s="500"/>
      <c r="B581" s="501"/>
      <c r="C581" s="502" t="s">
        <v>976</v>
      </c>
      <c r="D581" s="503">
        <f>SUM(D582,D583)</f>
        <v>7730000</v>
      </c>
      <c r="E581" s="503">
        <f>SUM(E582,E583)</f>
        <v>2839252.96</v>
      </c>
      <c r="F581" s="504">
        <f t="shared" si="33"/>
        <v>36.730309961190166</v>
      </c>
      <c r="G581" s="1482"/>
    </row>
    <row r="582" spans="1:7" s="512" customFormat="1" ht="18.75" customHeight="1">
      <c r="A582" s="507"/>
      <c r="B582" s="508"/>
      <c r="C582" s="509" t="s">
        <v>977</v>
      </c>
      <c r="D582" s="510">
        <v>7438050</v>
      </c>
      <c r="E582" s="510">
        <v>2676547.9</v>
      </c>
      <c r="F582" s="511">
        <f t="shared" si="33"/>
        <v>35.98453761402518</v>
      </c>
      <c r="G582" s="1482"/>
    </row>
    <row r="583" spans="1:7" s="512" customFormat="1" ht="18.75" customHeight="1">
      <c r="A583" s="539"/>
      <c r="B583" s="508"/>
      <c r="C583" s="509" t="s">
        <v>1096</v>
      </c>
      <c r="D583" s="510">
        <v>291950</v>
      </c>
      <c r="E583" s="510">
        <v>162705.06</v>
      </c>
      <c r="F583" s="511">
        <f t="shared" si="33"/>
        <v>55.73045384483645</v>
      </c>
      <c r="G583" s="551"/>
    </row>
    <row r="584" spans="1:7" s="512" customFormat="1" ht="18.75" customHeight="1">
      <c r="A584" s="539"/>
      <c r="B584" s="508"/>
      <c r="C584" s="496" t="s">
        <v>979</v>
      </c>
      <c r="D584" s="360">
        <f>SUM(D585,D586)</f>
        <v>1400000</v>
      </c>
      <c r="E584" s="360">
        <f>SUM(E585,E586)</f>
        <v>15596.4</v>
      </c>
      <c r="F584" s="497">
        <f t="shared" si="33"/>
        <v>1.1140285714285714</v>
      </c>
      <c r="G584" s="551"/>
    </row>
    <row r="585" spans="1:7" s="512" customFormat="1" ht="24.75" customHeight="1">
      <c r="A585" s="539"/>
      <c r="B585" s="508"/>
      <c r="C585" s="502" t="s">
        <v>251</v>
      </c>
      <c r="D585" s="503">
        <v>20000</v>
      </c>
      <c r="E585" s="503">
        <v>2460</v>
      </c>
      <c r="F585" s="504">
        <f t="shared" si="33"/>
        <v>12.3</v>
      </c>
      <c r="G585" s="551"/>
    </row>
    <row r="586" spans="1:7" s="512" customFormat="1" ht="25.5" customHeight="1">
      <c r="A586" s="539"/>
      <c r="B586" s="508"/>
      <c r="C586" s="502" t="s">
        <v>989</v>
      </c>
      <c r="D586" s="503">
        <v>1380000</v>
      </c>
      <c r="E586" s="503">
        <v>13136.4</v>
      </c>
      <c r="F586" s="504">
        <f t="shared" si="33"/>
        <v>0.9519130434782608</v>
      </c>
      <c r="G586" s="551"/>
    </row>
    <row r="587" spans="1:8" s="540" customFormat="1" ht="18.75" customHeight="1">
      <c r="A587" s="535"/>
      <c r="B587" s="488" t="s">
        <v>90</v>
      </c>
      <c r="C587" s="531" t="s">
        <v>325</v>
      </c>
      <c r="D587" s="490">
        <f aca="true" t="shared" si="34" ref="D587:E589">SUM(D588)</f>
        <v>5040000</v>
      </c>
      <c r="E587" s="490">
        <f t="shared" si="34"/>
        <v>1518177.63</v>
      </c>
      <c r="F587" s="491">
        <f aca="true" t="shared" si="35" ref="F587:F624">E587/D587*100</f>
        <v>30.122572023809525</v>
      </c>
      <c r="G587" s="505"/>
      <c r="H587" s="506"/>
    </row>
    <row r="588" spans="1:7" s="499" customFormat="1" ht="18.75" customHeight="1">
      <c r="A588" s="494"/>
      <c r="B588" s="495"/>
      <c r="C588" s="496" t="s">
        <v>838</v>
      </c>
      <c r="D588" s="360">
        <f t="shared" si="34"/>
        <v>5040000</v>
      </c>
      <c r="E588" s="360">
        <f t="shared" si="34"/>
        <v>1518177.63</v>
      </c>
      <c r="F588" s="497">
        <f t="shared" si="35"/>
        <v>30.122572023809525</v>
      </c>
      <c r="G588" s="498"/>
    </row>
    <row r="589" spans="1:7" s="506" customFormat="1" ht="18" customHeight="1">
      <c r="A589" s="500"/>
      <c r="B589" s="501"/>
      <c r="C589" s="502" t="s">
        <v>976</v>
      </c>
      <c r="D589" s="503">
        <f t="shared" si="34"/>
        <v>5040000</v>
      </c>
      <c r="E589" s="503">
        <f t="shared" si="34"/>
        <v>1518177.63</v>
      </c>
      <c r="F589" s="504">
        <f t="shared" si="35"/>
        <v>30.122572023809525</v>
      </c>
      <c r="G589" s="505"/>
    </row>
    <row r="590" spans="1:7" s="512" customFormat="1" ht="18.75" customHeight="1">
      <c r="A590" s="507"/>
      <c r="B590" s="508"/>
      <c r="C590" s="509" t="s">
        <v>977</v>
      </c>
      <c r="D590" s="510">
        <v>5040000</v>
      </c>
      <c r="E590" s="510">
        <v>1518177.63</v>
      </c>
      <c r="F590" s="511">
        <f t="shared" si="35"/>
        <v>30.122572023809525</v>
      </c>
      <c r="G590" s="505"/>
    </row>
    <row r="591" spans="1:7" s="493" customFormat="1" ht="18.75" customHeight="1">
      <c r="A591" s="535"/>
      <c r="B591" s="488" t="s">
        <v>849</v>
      </c>
      <c r="C591" s="531" t="s">
        <v>850</v>
      </c>
      <c r="D591" s="490">
        <f>SUM(D592,D596)</f>
        <v>3297000</v>
      </c>
      <c r="E591" s="490">
        <f>SUM(E592,E596)</f>
        <v>1066159.13</v>
      </c>
      <c r="F591" s="491">
        <f t="shared" si="35"/>
        <v>32.33724992417349</v>
      </c>
      <c r="G591" s="485"/>
    </row>
    <row r="592" spans="1:7" s="499" customFormat="1" ht="18.75" customHeight="1">
      <c r="A592" s="494"/>
      <c r="B592" s="495"/>
      <c r="C592" s="496" t="s">
        <v>838</v>
      </c>
      <c r="D592" s="360">
        <f>SUM(D593)</f>
        <v>3057000</v>
      </c>
      <c r="E592" s="360">
        <f>SUM(E593)</f>
        <v>1066159.13</v>
      </c>
      <c r="F592" s="497">
        <f t="shared" si="35"/>
        <v>34.87599378475629</v>
      </c>
      <c r="G592" s="498"/>
    </row>
    <row r="593" spans="1:7" s="506" customFormat="1" ht="18" customHeight="1">
      <c r="A593" s="500"/>
      <c r="B593" s="501"/>
      <c r="C593" s="502" t="s">
        <v>976</v>
      </c>
      <c r="D593" s="503">
        <f>SUM(D594,D595)</f>
        <v>3057000</v>
      </c>
      <c r="E593" s="503">
        <f>SUM(E594,E595)</f>
        <v>1066159.13</v>
      </c>
      <c r="F593" s="504">
        <f t="shared" si="35"/>
        <v>34.87599378475629</v>
      </c>
      <c r="G593" s="505"/>
    </row>
    <row r="594" spans="1:7" s="512" customFormat="1" ht="18.75" customHeight="1" hidden="1">
      <c r="A594" s="507"/>
      <c r="B594" s="508"/>
      <c r="C594" s="509" t="s">
        <v>1096</v>
      </c>
      <c r="D594" s="510">
        <v>0</v>
      </c>
      <c r="E594" s="510">
        <v>0</v>
      </c>
      <c r="F594" s="511" t="e">
        <f t="shared" si="35"/>
        <v>#DIV/0!</v>
      </c>
      <c r="G594" s="505"/>
    </row>
    <row r="595" spans="1:7" s="512" customFormat="1" ht="18.75" customHeight="1">
      <c r="A595" s="507"/>
      <c r="B595" s="508"/>
      <c r="C595" s="509" t="s">
        <v>977</v>
      </c>
      <c r="D595" s="510">
        <v>3057000</v>
      </c>
      <c r="E595" s="510">
        <v>1066159.13</v>
      </c>
      <c r="F595" s="511">
        <f t="shared" si="35"/>
        <v>34.87599378475629</v>
      </c>
      <c r="G595" s="505"/>
    </row>
    <row r="596" spans="1:7" s="499" customFormat="1" ht="18.75" customHeight="1">
      <c r="A596" s="494"/>
      <c r="B596" s="495"/>
      <c r="C596" s="496" t="s">
        <v>979</v>
      </c>
      <c r="D596" s="360">
        <f>SUM(D597,D598)</f>
        <v>240000</v>
      </c>
      <c r="E596" s="360">
        <f>SUM(E597,E598)</f>
        <v>0</v>
      </c>
      <c r="F596" s="497">
        <f t="shared" si="35"/>
        <v>0</v>
      </c>
      <c r="G596" s="498"/>
    </row>
    <row r="597" spans="1:7" s="506" customFormat="1" ht="26.25" customHeight="1">
      <c r="A597" s="500"/>
      <c r="B597" s="501"/>
      <c r="C597" s="502" t="s">
        <v>251</v>
      </c>
      <c r="D597" s="503">
        <v>240000</v>
      </c>
      <c r="E597" s="503">
        <v>0</v>
      </c>
      <c r="F597" s="504">
        <f t="shared" si="35"/>
        <v>0</v>
      </c>
      <c r="G597" s="505"/>
    </row>
    <row r="598" spans="1:7" s="506" customFormat="1" ht="21.75" customHeight="1" hidden="1">
      <c r="A598" s="534"/>
      <c r="B598" s="501"/>
      <c r="C598" s="502" t="s">
        <v>989</v>
      </c>
      <c r="D598" s="503">
        <v>0</v>
      </c>
      <c r="E598" s="503">
        <v>0</v>
      </c>
      <c r="F598" s="504" t="e">
        <f t="shared" si="35"/>
        <v>#DIV/0!</v>
      </c>
      <c r="G598" s="505"/>
    </row>
    <row r="599" spans="1:7" s="493" customFormat="1" ht="18.75" customHeight="1">
      <c r="A599" s="535"/>
      <c r="B599" s="488" t="s">
        <v>1276</v>
      </c>
      <c r="C599" s="531" t="s">
        <v>1277</v>
      </c>
      <c r="D599" s="490">
        <f aca="true" t="shared" si="36" ref="D599:E601">SUM(D600)</f>
        <v>42000</v>
      </c>
      <c r="E599" s="490">
        <f t="shared" si="36"/>
        <v>0</v>
      </c>
      <c r="F599" s="491">
        <f t="shared" si="35"/>
        <v>0</v>
      </c>
      <c r="G599" s="485"/>
    </row>
    <row r="600" spans="1:7" s="499" customFormat="1" ht="18.75" customHeight="1">
      <c r="A600" s="494"/>
      <c r="B600" s="495"/>
      <c r="C600" s="496" t="s">
        <v>838</v>
      </c>
      <c r="D600" s="360">
        <f t="shared" si="36"/>
        <v>42000</v>
      </c>
      <c r="E600" s="360">
        <f t="shared" si="36"/>
        <v>0</v>
      </c>
      <c r="F600" s="497">
        <f t="shared" si="35"/>
        <v>0</v>
      </c>
      <c r="G600" s="498"/>
    </row>
    <row r="601" spans="1:7" s="506" customFormat="1" ht="18" customHeight="1">
      <c r="A601" s="500"/>
      <c r="B601" s="501"/>
      <c r="C601" s="502" t="s">
        <v>976</v>
      </c>
      <c r="D601" s="503">
        <f t="shared" si="36"/>
        <v>42000</v>
      </c>
      <c r="E601" s="503">
        <f t="shared" si="36"/>
        <v>0</v>
      </c>
      <c r="F601" s="504">
        <f t="shared" si="35"/>
        <v>0</v>
      </c>
      <c r="G601" s="505"/>
    </row>
    <row r="602" spans="1:7" s="512" customFormat="1" ht="18.75" customHeight="1">
      <c r="A602" s="507"/>
      <c r="B602" s="508"/>
      <c r="C602" s="509" t="s">
        <v>977</v>
      </c>
      <c r="D602" s="510">
        <v>42000</v>
      </c>
      <c r="E602" s="510">
        <v>0</v>
      </c>
      <c r="F602" s="511">
        <f t="shared" si="35"/>
        <v>0</v>
      </c>
      <c r="G602" s="505"/>
    </row>
    <row r="603" spans="1:7" s="493" customFormat="1" ht="18.75" customHeight="1">
      <c r="A603" s="535"/>
      <c r="B603" s="488" t="s">
        <v>853</v>
      </c>
      <c r="C603" s="531" t="s">
        <v>858</v>
      </c>
      <c r="D603" s="490">
        <f>SUM(D604,D608)</f>
        <v>359000</v>
      </c>
      <c r="E603" s="490">
        <f>SUM(E604,E608)</f>
        <v>150000</v>
      </c>
      <c r="F603" s="491">
        <f t="shared" si="35"/>
        <v>41.78272980501393</v>
      </c>
      <c r="G603" s="485"/>
    </row>
    <row r="604" spans="1:7" s="499" customFormat="1" ht="18.75" customHeight="1">
      <c r="A604" s="494"/>
      <c r="B604" s="495"/>
      <c r="C604" s="496" t="s">
        <v>838</v>
      </c>
      <c r="D604" s="360">
        <f>SUM(D605,D607)</f>
        <v>354000</v>
      </c>
      <c r="E604" s="360">
        <f>SUM(E605,E607)</f>
        <v>150000</v>
      </c>
      <c r="F604" s="497">
        <f t="shared" si="35"/>
        <v>42.3728813559322</v>
      </c>
      <c r="G604" s="498"/>
    </row>
    <row r="605" spans="1:7" s="506" customFormat="1" ht="18" customHeight="1">
      <c r="A605" s="500"/>
      <c r="B605" s="501"/>
      <c r="C605" s="502" t="s">
        <v>976</v>
      </c>
      <c r="D605" s="503">
        <f>SUM(D606)</f>
        <v>54000</v>
      </c>
      <c r="E605" s="503">
        <f>SUM(E606)</f>
        <v>0</v>
      </c>
      <c r="F605" s="504">
        <f t="shared" si="35"/>
        <v>0</v>
      </c>
      <c r="G605" s="505"/>
    </row>
    <row r="606" spans="1:7" s="512" customFormat="1" ht="18.75" customHeight="1">
      <c r="A606" s="507"/>
      <c r="B606" s="508"/>
      <c r="C606" s="509" t="s">
        <v>977</v>
      </c>
      <c r="D606" s="510">
        <v>54000</v>
      </c>
      <c r="E606" s="510">
        <v>0</v>
      </c>
      <c r="F606" s="511">
        <f t="shared" si="35"/>
        <v>0</v>
      </c>
      <c r="G606" s="505"/>
    </row>
    <row r="607" spans="1:7" s="506" customFormat="1" ht="18" customHeight="1">
      <c r="A607" s="500"/>
      <c r="B607" s="501"/>
      <c r="C607" s="502" t="s">
        <v>978</v>
      </c>
      <c r="D607" s="503">
        <v>300000</v>
      </c>
      <c r="E607" s="503">
        <v>150000</v>
      </c>
      <c r="F607" s="504">
        <f t="shared" si="35"/>
        <v>50</v>
      </c>
      <c r="G607" s="505"/>
    </row>
    <row r="608" spans="1:7" s="499" customFormat="1" ht="18.75" customHeight="1">
      <c r="A608" s="494"/>
      <c r="B608" s="495"/>
      <c r="C608" s="496" t="s">
        <v>979</v>
      </c>
      <c r="D608" s="360">
        <f>SUM(D609)</f>
        <v>5000</v>
      </c>
      <c r="E608" s="360">
        <f>SUM(E609)</f>
        <v>0</v>
      </c>
      <c r="F608" s="497">
        <f t="shared" si="35"/>
        <v>0</v>
      </c>
      <c r="G608" s="498"/>
    </row>
    <row r="609" spans="1:7" s="506" customFormat="1" ht="26.25" customHeight="1">
      <c r="A609" s="500"/>
      <c r="B609" s="501"/>
      <c r="C609" s="502" t="s">
        <v>251</v>
      </c>
      <c r="D609" s="503">
        <v>5000</v>
      </c>
      <c r="E609" s="503">
        <v>0</v>
      </c>
      <c r="F609" s="504">
        <f t="shared" si="35"/>
        <v>0</v>
      </c>
      <c r="G609" s="505"/>
    </row>
    <row r="610" spans="1:8" s="540" customFormat="1" ht="18.75" customHeight="1">
      <c r="A610" s="535"/>
      <c r="B610" s="488" t="s">
        <v>91</v>
      </c>
      <c r="C610" s="531" t="s">
        <v>92</v>
      </c>
      <c r="D610" s="490">
        <f>SUM(D611,D615)</f>
        <v>2631500</v>
      </c>
      <c r="E610" s="490">
        <f>SUM(E611,E615)</f>
        <v>864666.48</v>
      </c>
      <c r="F610" s="491">
        <f t="shared" si="35"/>
        <v>32.85831198935968</v>
      </c>
      <c r="G610" s="505"/>
      <c r="H610" s="506"/>
    </row>
    <row r="611" spans="1:7" s="499" customFormat="1" ht="18.75" customHeight="1">
      <c r="A611" s="494"/>
      <c r="B611" s="495"/>
      <c r="C611" s="496" t="s">
        <v>838</v>
      </c>
      <c r="D611" s="360">
        <f>SUM(D612)</f>
        <v>1526500</v>
      </c>
      <c r="E611" s="360">
        <f>SUM(E612)</f>
        <v>664857.58</v>
      </c>
      <c r="F611" s="497">
        <f t="shared" si="35"/>
        <v>43.554377988863415</v>
      </c>
      <c r="G611" s="498"/>
    </row>
    <row r="612" spans="1:7" s="506" customFormat="1" ht="18" customHeight="1">
      <c r="A612" s="500"/>
      <c r="B612" s="501"/>
      <c r="C612" s="502" t="s">
        <v>976</v>
      </c>
      <c r="D612" s="503">
        <f>SUM(D613)</f>
        <v>1526500</v>
      </c>
      <c r="E612" s="503">
        <f>SUM(E613)</f>
        <v>664857.58</v>
      </c>
      <c r="F612" s="504">
        <f t="shared" si="35"/>
        <v>43.554377988863415</v>
      </c>
      <c r="G612" s="505"/>
    </row>
    <row r="613" spans="1:7" s="512" customFormat="1" ht="18.75" customHeight="1">
      <c r="A613" s="507"/>
      <c r="B613" s="508"/>
      <c r="C613" s="509" t="s">
        <v>977</v>
      </c>
      <c r="D613" s="510">
        <v>1526500</v>
      </c>
      <c r="E613" s="510">
        <v>664857.58</v>
      </c>
      <c r="F613" s="511">
        <f t="shared" si="35"/>
        <v>43.554377988863415</v>
      </c>
      <c r="G613" s="505"/>
    </row>
    <row r="614" spans="1:7" s="499" customFormat="1" ht="18.75" customHeight="1">
      <c r="A614" s="494"/>
      <c r="B614" s="495"/>
      <c r="C614" s="496" t="s">
        <v>979</v>
      </c>
      <c r="D614" s="360">
        <f>SUM(D615)</f>
        <v>1105000</v>
      </c>
      <c r="E614" s="360">
        <f>SUM(E615)</f>
        <v>199808.9</v>
      </c>
      <c r="F614" s="497">
        <f t="shared" si="35"/>
        <v>18.082253393665155</v>
      </c>
      <c r="G614" s="498"/>
    </row>
    <row r="615" spans="1:7" s="506" customFormat="1" ht="24" customHeight="1">
      <c r="A615" s="500"/>
      <c r="B615" s="501"/>
      <c r="C615" s="502" t="s">
        <v>251</v>
      </c>
      <c r="D615" s="503">
        <v>1105000</v>
      </c>
      <c r="E615" s="503">
        <v>199808.9</v>
      </c>
      <c r="F615" s="504">
        <f t="shared" si="35"/>
        <v>18.082253393665155</v>
      </c>
      <c r="G615" s="505"/>
    </row>
    <row r="616" spans="1:7" s="506" customFormat="1" ht="27.75" customHeight="1" hidden="1">
      <c r="A616" s="535"/>
      <c r="B616" s="488" t="s">
        <v>1113</v>
      </c>
      <c r="C616" s="489" t="s">
        <v>888</v>
      </c>
      <c r="D616" s="490">
        <f>SUM(D617)</f>
        <v>0</v>
      </c>
      <c r="E616" s="490">
        <f>SUM(E617)</f>
        <v>0</v>
      </c>
      <c r="F616" s="491" t="e">
        <f t="shared" si="35"/>
        <v>#DIV/0!</v>
      </c>
      <c r="G616" s="505"/>
    </row>
    <row r="617" spans="1:7" s="499" customFormat="1" ht="18.75" customHeight="1" hidden="1">
      <c r="A617" s="494"/>
      <c r="B617" s="495"/>
      <c r="C617" s="496" t="s">
        <v>838</v>
      </c>
      <c r="D617" s="360">
        <f>SUM(D618)</f>
        <v>0</v>
      </c>
      <c r="E617" s="360">
        <f>SUM(E618)</f>
        <v>0</v>
      </c>
      <c r="F617" s="497" t="e">
        <f t="shared" si="35"/>
        <v>#DIV/0!</v>
      </c>
      <c r="G617" s="498"/>
    </row>
    <row r="618" spans="1:7" s="506" customFormat="1" ht="18" customHeight="1" hidden="1">
      <c r="A618" s="500"/>
      <c r="B618" s="501"/>
      <c r="C618" s="502" t="s">
        <v>978</v>
      </c>
      <c r="D618" s="503">
        <v>0</v>
      </c>
      <c r="E618" s="503">
        <v>0</v>
      </c>
      <c r="F618" s="504" t="e">
        <f t="shared" si="35"/>
        <v>#DIV/0!</v>
      </c>
      <c r="G618" s="505"/>
    </row>
    <row r="619" spans="1:7" s="506" customFormat="1" ht="27.75" customHeight="1" hidden="1">
      <c r="A619" s="535"/>
      <c r="B619" s="488" t="s">
        <v>946</v>
      </c>
      <c r="C619" s="489" t="s">
        <v>947</v>
      </c>
      <c r="D619" s="490">
        <f>SUM(D622)</f>
        <v>0</v>
      </c>
      <c r="E619" s="490">
        <f>SUM(E622)</f>
        <v>0</v>
      </c>
      <c r="F619" s="491" t="e">
        <f t="shared" si="35"/>
        <v>#DIV/0!</v>
      </c>
      <c r="G619" s="505"/>
    </row>
    <row r="620" spans="1:7" s="499" customFormat="1" ht="18.75" customHeight="1" hidden="1">
      <c r="A620" s="494"/>
      <c r="B620" s="495"/>
      <c r="C620" s="496" t="s">
        <v>838</v>
      </c>
      <c r="D620" s="360">
        <f>SUM(D621)</f>
        <v>0</v>
      </c>
      <c r="E620" s="360">
        <f>SUM(E621)</f>
        <v>0</v>
      </c>
      <c r="F620" s="497" t="e">
        <f t="shared" si="35"/>
        <v>#DIV/0!</v>
      </c>
      <c r="G620" s="498"/>
    </row>
    <row r="621" spans="1:7" s="506" customFormat="1" ht="18" customHeight="1" hidden="1">
      <c r="A621" s="500"/>
      <c r="B621" s="501"/>
      <c r="C621" s="502" t="s">
        <v>976</v>
      </c>
      <c r="D621" s="503">
        <f>SUM(D622)</f>
        <v>0</v>
      </c>
      <c r="E621" s="503">
        <f>SUM(E622)</f>
        <v>0</v>
      </c>
      <c r="F621" s="504" t="e">
        <f t="shared" si="35"/>
        <v>#DIV/0!</v>
      </c>
      <c r="G621" s="505"/>
    </row>
    <row r="622" spans="1:7" s="512" customFormat="1" ht="18.75" customHeight="1" hidden="1">
      <c r="A622" s="507"/>
      <c r="B622" s="508"/>
      <c r="C622" s="509" t="s">
        <v>977</v>
      </c>
      <c r="D622" s="510">
        <v>0</v>
      </c>
      <c r="E622" s="510">
        <v>0</v>
      </c>
      <c r="F622" s="511" t="e">
        <f t="shared" si="35"/>
        <v>#DIV/0!</v>
      </c>
      <c r="G622" s="505"/>
    </row>
    <row r="623" spans="1:7" s="493" customFormat="1" ht="18.75" customHeight="1">
      <c r="A623" s="535"/>
      <c r="B623" s="488" t="s">
        <v>93</v>
      </c>
      <c r="C623" s="531" t="s">
        <v>176</v>
      </c>
      <c r="D623" s="490">
        <f>SUM(D624,D630)</f>
        <v>4185068</v>
      </c>
      <c r="E623" s="490">
        <f>SUM(E624,E630)</f>
        <v>272246.96</v>
      </c>
      <c r="F623" s="491">
        <f t="shared" si="35"/>
        <v>6.5051980039511905</v>
      </c>
      <c r="G623" s="485"/>
    </row>
    <row r="624" spans="1:7" s="499" customFormat="1" ht="18.75" customHeight="1">
      <c r="A624" s="494"/>
      <c r="B624" s="495"/>
      <c r="C624" s="496" t="s">
        <v>838</v>
      </c>
      <c r="D624" s="360">
        <f>SUM(D625,D628,D629)</f>
        <v>1016194</v>
      </c>
      <c r="E624" s="360">
        <f>SUM(E625,E628,E629)</f>
        <v>272179.58</v>
      </c>
      <c r="F624" s="497">
        <f t="shared" si="35"/>
        <v>26.784214431496352</v>
      </c>
      <c r="G624" s="498"/>
    </row>
    <row r="625" spans="1:7" s="506" customFormat="1" ht="18" customHeight="1">
      <c r="A625" s="500"/>
      <c r="B625" s="501"/>
      <c r="C625" s="502" t="s">
        <v>976</v>
      </c>
      <c r="D625" s="503">
        <f>SUM(D626,D627)</f>
        <v>1003694</v>
      </c>
      <c r="E625" s="503">
        <f>SUM(E626,E627)</f>
        <v>262179.58</v>
      </c>
      <c r="F625" s="504">
        <f aca="true" t="shared" si="37" ref="F625:F666">E625/D625*100</f>
        <v>26.12146530715537</v>
      </c>
      <c r="G625" s="505"/>
    </row>
    <row r="626" spans="1:7" s="512" customFormat="1" ht="18.75" customHeight="1" hidden="1">
      <c r="A626" s="507"/>
      <c r="B626" s="508"/>
      <c r="C626" s="509" t="s">
        <v>1096</v>
      </c>
      <c r="D626" s="510">
        <v>0</v>
      </c>
      <c r="E626" s="510">
        <v>0</v>
      </c>
      <c r="F626" s="511" t="e">
        <f>E626/D626*100</f>
        <v>#DIV/0!</v>
      </c>
      <c r="G626" s="505"/>
    </row>
    <row r="627" spans="1:7" s="512" customFormat="1" ht="18.75" customHeight="1">
      <c r="A627" s="507"/>
      <c r="B627" s="508"/>
      <c r="C627" s="509" t="s">
        <v>977</v>
      </c>
      <c r="D627" s="510">
        <v>1003694</v>
      </c>
      <c r="E627" s="510">
        <v>262179.58</v>
      </c>
      <c r="F627" s="511">
        <f t="shared" si="37"/>
        <v>26.12146530715537</v>
      </c>
      <c r="G627" s="505"/>
    </row>
    <row r="628" spans="1:7" s="512" customFormat="1" ht="18.75" customHeight="1" hidden="1">
      <c r="A628" s="507"/>
      <c r="B628" s="508"/>
      <c r="C628" s="548" t="s">
        <v>982</v>
      </c>
      <c r="D628" s="510">
        <v>0</v>
      </c>
      <c r="E628" s="510">
        <v>0</v>
      </c>
      <c r="F628" s="511" t="e">
        <f t="shared" si="37"/>
        <v>#DIV/0!</v>
      </c>
      <c r="G628" s="505"/>
    </row>
    <row r="629" spans="1:7" s="506" customFormat="1" ht="18.75" customHeight="1">
      <c r="A629" s="500"/>
      <c r="B629" s="501"/>
      <c r="C629" s="502" t="s">
        <v>978</v>
      </c>
      <c r="D629" s="503">
        <v>12500</v>
      </c>
      <c r="E629" s="503">
        <v>10000</v>
      </c>
      <c r="F629" s="504">
        <f t="shared" si="37"/>
        <v>80</v>
      </c>
      <c r="G629" s="530"/>
    </row>
    <row r="630" spans="1:7" s="499" customFormat="1" ht="18.75" customHeight="1">
      <c r="A630" s="494"/>
      <c r="B630" s="495"/>
      <c r="C630" s="496" t="s">
        <v>979</v>
      </c>
      <c r="D630" s="360">
        <f>SUM(D631,D632,D633)</f>
        <v>3168874</v>
      </c>
      <c r="E630" s="360">
        <f>SUM(E631,E632,E633)</f>
        <v>67.38</v>
      </c>
      <c r="F630" s="497">
        <f t="shared" si="37"/>
        <v>0.002126307325567378</v>
      </c>
      <c r="G630" s="498"/>
    </row>
    <row r="631" spans="1:7" s="506" customFormat="1" ht="24" customHeight="1">
      <c r="A631" s="500"/>
      <c r="B631" s="501"/>
      <c r="C631" s="502" t="s">
        <v>251</v>
      </c>
      <c r="D631" s="503">
        <v>978806</v>
      </c>
      <c r="E631" s="503">
        <v>0</v>
      </c>
      <c r="F631" s="504">
        <f t="shared" si="37"/>
        <v>0</v>
      </c>
      <c r="G631" s="505"/>
    </row>
    <row r="632" spans="1:7" s="506" customFormat="1" ht="21.75" customHeight="1">
      <c r="A632" s="534"/>
      <c r="B632" s="501"/>
      <c r="C632" s="502" t="s">
        <v>989</v>
      </c>
      <c r="D632" s="503">
        <v>2190000</v>
      </c>
      <c r="E632" s="503">
        <v>0</v>
      </c>
      <c r="F632" s="504">
        <f t="shared" si="37"/>
        <v>0</v>
      </c>
      <c r="G632" s="505"/>
    </row>
    <row r="633" spans="1:7" s="506" customFormat="1" ht="43.5" customHeight="1">
      <c r="A633" s="534"/>
      <c r="B633" s="501"/>
      <c r="C633" s="502" t="s">
        <v>180</v>
      </c>
      <c r="D633" s="503">
        <v>68</v>
      </c>
      <c r="E633" s="503">
        <v>67.38</v>
      </c>
      <c r="F633" s="504">
        <f t="shared" si="37"/>
        <v>99.08823529411764</v>
      </c>
      <c r="G633" s="505"/>
    </row>
    <row r="634" spans="1:8" s="540" customFormat="1" ht="31.5" customHeight="1">
      <c r="A634" s="536" t="s">
        <v>115</v>
      </c>
      <c r="B634" s="481"/>
      <c r="C634" s="482" t="s">
        <v>859</v>
      </c>
      <c r="D634" s="483">
        <f>SUM(D635,D643,D648,D653,D660)</f>
        <v>7525975</v>
      </c>
      <c r="E634" s="483">
        <f>SUM(E635,E643,E648,E653,E660)</f>
        <v>3621389.83</v>
      </c>
      <c r="F634" s="484">
        <f t="shared" si="37"/>
        <v>48.11854716498527</v>
      </c>
      <c r="G634" s="505"/>
      <c r="H634" s="506"/>
    </row>
    <row r="635" spans="1:7" s="493" customFormat="1" ht="18.75" customHeight="1">
      <c r="A635" s="535"/>
      <c r="B635" s="488" t="s">
        <v>860</v>
      </c>
      <c r="C635" s="489" t="s">
        <v>861</v>
      </c>
      <c r="D635" s="490">
        <f>SUM(D636,D640)</f>
        <v>2300955</v>
      </c>
      <c r="E635" s="490">
        <f>SUM(E636,E640)</f>
        <v>1282572.06</v>
      </c>
      <c r="F635" s="491">
        <f t="shared" si="37"/>
        <v>55.740858035033284</v>
      </c>
      <c r="G635" s="485"/>
    </row>
    <row r="636" spans="1:7" s="499" customFormat="1" ht="18.75" customHeight="1">
      <c r="A636" s="494"/>
      <c r="B636" s="495"/>
      <c r="C636" s="496" t="s">
        <v>838</v>
      </c>
      <c r="D636" s="360">
        <f>SUM(D637,D639)</f>
        <v>2225955</v>
      </c>
      <c r="E636" s="360">
        <f>SUM(E637,E639)</f>
        <v>1210955</v>
      </c>
      <c r="F636" s="497">
        <f t="shared" si="37"/>
        <v>54.40159392260849</v>
      </c>
      <c r="G636" s="498"/>
    </row>
    <row r="637" spans="1:7" s="506" customFormat="1" ht="18" customHeight="1" hidden="1">
      <c r="A637" s="500"/>
      <c r="B637" s="501"/>
      <c r="C637" s="502" t="s">
        <v>976</v>
      </c>
      <c r="D637" s="503">
        <f>SUM(D638)</f>
        <v>0</v>
      </c>
      <c r="E637" s="503">
        <f>SUM(E638)</f>
        <v>0</v>
      </c>
      <c r="F637" s="504" t="e">
        <f>E637/D637*100</f>
        <v>#DIV/0!</v>
      </c>
      <c r="G637" s="505"/>
    </row>
    <row r="638" spans="1:7" s="512" customFormat="1" ht="18.75" customHeight="1" hidden="1">
      <c r="A638" s="507"/>
      <c r="B638" s="508"/>
      <c r="C638" s="509" t="s">
        <v>977</v>
      </c>
      <c r="D638" s="510">
        <v>0</v>
      </c>
      <c r="E638" s="510">
        <v>0</v>
      </c>
      <c r="F638" s="511" t="e">
        <f>E638/D638*100</f>
        <v>#DIV/0!</v>
      </c>
      <c r="G638" s="505"/>
    </row>
    <row r="639" spans="1:7" s="506" customFormat="1" ht="18.75" customHeight="1">
      <c r="A639" s="500"/>
      <c r="B639" s="501"/>
      <c r="C639" s="502" t="s">
        <v>978</v>
      </c>
      <c r="D639" s="503">
        <v>2225955</v>
      </c>
      <c r="E639" s="503">
        <v>1210955</v>
      </c>
      <c r="F639" s="504">
        <f t="shared" si="37"/>
        <v>54.40159392260849</v>
      </c>
      <c r="G639" s="530"/>
    </row>
    <row r="640" spans="1:7" s="499" customFormat="1" ht="18.75" customHeight="1">
      <c r="A640" s="494"/>
      <c r="B640" s="495"/>
      <c r="C640" s="496" t="s">
        <v>979</v>
      </c>
      <c r="D640" s="360">
        <f>SUM(D641,D642)</f>
        <v>75000</v>
      </c>
      <c r="E640" s="360">
        <f>SUM(E641,E642)</f>
        <v>71617.06</v>
      </c>
      <c r="F640" s="552">
        <f t="shared" si="37"/>
        <v>95.48941333333333</v>
      </c>
      <c r="G640" s="498"/>
    </row>
    <row r="641" spans="1:7" s="506" customFormat="1" ht="26.25" customHeight="1">
      <c r="A641" s="534"/>
      <c r="B641" s="501"/>
      <c r="C641" s="502" t="s">
        <v>251</v>
      </c>
      <c r="D641" s="503">
        <v>75000</v>
      </c>
      <c r="E641" s="503">
        <v>71617.06</v>
      </c>
      <c r="F641" s="504">
        <f t="shared" si="37"/>
        <v>95.48941333333333</v>
      </c>
      <c r="G641" s="530"/>
    </row>
    <row r="642" spans="1:7" s="506" customFormat="1" ht="26.25" customHeight="1" hidden="1">
      <c r="A642" s="534"/>
      <c r="B642" s="501"/>
      <c r="C642" s="502" t="s">
        <v>1212</v>
      </c>
      <c r="D642" s="503">
        <v>0</v>
      </c>
      <c r="E642" s="503">
        <v>0</v>
      </c>
      <c r="F642" s="504" t="e">
        <f>E642/D642*100</f>
        <v>#DIV/0!</v>
      </c>
      <c r="G642" s="530"/>
    </row>
    <row r="643" spans="1:7" s="506" customFormat="1" ht="18.75" customHeight="1">
      <c r="A643" s="535"/>
      <c r="B643" s="488" t="s">
        <v>862</v>
      </c>
      <c r="C643" s="531" t="s">
        <v>863</v>
      </c>
      <c r="D643" s="490">
        <f>SUM(D644,D646)</f>
        <v>1733700</v>
      </c>
      <c r="E643" s="490">
        <f>SUM(E644,E646)</f>
        <v>870000</v>
      </c>
      <c r="F643" s="491">
        <f t="shared" si="37"/>
        <v>50.1816923343139</v>
      </c>
      <c r="G643" s="505"/>
    </row>
    <row r="644" spans="1:7" s="499" customFormat="1" ht="18.75" customHeight="1">
      <c r="A644" s="494"/>
      <c r="B644" s="495"/>
      <c r="C644" s="496" t="s">
        <v>838</v>
      </c>
      <c r="D644" s="360">
        <f>SUM(D645)</f>
        <v>1583700</v>
      </c>
      <c r="E644" s="360">
        <f>SUM(E645)</f>
        <v>870000</v>
      </c>
      <c r="F644" s="497">
        <f t="shared" si="37"/>
        <v>54.93464671339269</v>
      </c>
      <c r="G644" s="498"/>
    </row>
    <row r="645" spans="1:7" s="506" customFormat="1" ht="18.75" customHeight="1">
      <c r="A645" s="500"/>
      <c r="B645" s="501"/>
      <c r="C645" s="502" t="s">
        <v>978</v>
      </c>
      <c r="D645" s="503">
        <v>1583700</v>
      </c>
      <c r="E645" s="503">
        <v>870000</v>
      </c>
      <c r="F645" s="504">
        <f t="shared" si="37"/>
        <v>54.93464671339269</v>
      </c>
      <c r="G645" s="530"/>
    </row>
    <row r="646" spans="1:7" s="499" customFormat="1" ht="18.75" customHeight="1">
      <c r="A646" s="494"/>
      <c r="B646" s="495"/>
      <c r="C646" s="496" t="s">
        <v>979</v>
      </c>
      <c r="D646" s="360">
        <f>SUM(D647)</f>
        <v>150000</v>
      </c>
      <c r="E646" s="360">
        <f>SUM(E647)</f>
        <v>0</v>
      </c>
      <c r="F646" s="497">
        <f>E646/D646*100</f>
        <v>0</v>
      </c>
      <c r="G646" s="498"/>
    </row>
    <row r="647" spans="1:7" s="506" customFormat="1" ht="24" customHeight="1">
      <c r="A647" s="500"/>
      <c r="B647" s="501"/>
      <c r="C647" s="502" t="s">
        <v>251</v>
      </c>
      <c r="D647" s="503">
        <v>150000</v>
      </c>
      <c r="E647" s="503">
        <v>0</v>
      </c>
      <c r="F647" s="504">
        <f>E647/D647*100</f>
        <v>0</v>
      </c>
      <c r="G647" s="505"/>
    </row>
    <row r="648" spans="1:7" s="506" customFormat="1" ht="18.75" customHeight="1">
      <c r="A648" s="535"/>
      <c r="B648" s="488" t="s">
        <v>864</v>
      </c>
      <c r="C648" s="531" t="s">
        <v>865</v>
      </c>
      <c r="D648" s="490">
        <f>SUM(D649,D651)</f>
        <v>802170</v>
      </c>
      <c r="E648" s="490">
        <f>SUM(E649,E651)</f>
        <v>387500</v>
      </c>
      <c r="F648" s="491">
        <f t="shared" si="37"/>
        <v>48.30646870364138</v>
      </c>
      <c r="G648" s="505"/>
    </row>
    <row r="649" spans="1:7" s="499" customFormat="1" ht="18.75" customHeight="1">
      <c r="A649" s="494"/>
      <c r="B649" s="495"/>
      <c r="C649" s="496" t="s">
        <v>838</v>
      </c>
      <c r="D649" s="360">
        <f>SUM(D650)</f>
        <v>614670</v>
      </c>
      <c r="E649" s="360">
        <f>SUM(E650)</f>
        <v>380000</v>
      </c>
      <c r="F649" s="497">
        <f t="shared" si="37"/>
        <v>61.821790554281165</v>
      </c>
      <c r="G649" s="498"/>
    </row>
    <row r="650" spans="1:7" s="506" customFormat="1" ht="18.75" customHeight="1">
      <c r="A650" s="500"/>
      <c r="B650" s="501"/>
      <c r="C650" s="502" t="s">
        <v>978</v>
      </c>
      <c r="D650" s="503">
        <v>614670</v>
      </c>
      <c r="E650" s="503">
        <v>380000</v>
      </c>
      <c r="F650" s="504">
        <f t="shared" si="37"/>
        <v>61.821790554281165</v>
      </c>
      <c r="G650" s="530"/>
    </row>
    <row r="651" spans="1:7" s="499" customFormat="1" ht="18.75" customHeight="1">
      <c r="A651" s="494"/>
      <c r="B651" s="495"/>
      <c r="C651" s="496" t="s">
        <v>979</v>
      </c>
      <c r="D651" s="360">
        <f>SUM(D652)</f>
        <v>187500</v>
      </c>
      <c r="E651" s="360">
        <f>SUM(E652)</f>
        <v>7500</v>
      </c>
      <c r="F651" s="497">
        <f>E651/D651*100</f>
        <v>4</v>
      </c>
      <c r="G651" s="498"/>
    </row>
    <row r="652" spans="1:7" s="506" customFormat="1" ht="24.75" customHeight="1">
      <c r="A652" s="500"/>
      <c r="B652" s="501"/>
      <c r="C652" s="502" t="s">
        <v>251</v>
      </c>
      <c r="D652" s="503">
        <v>187500</v>
      </c>
      <c r="E652" s="503">
        <v>7500</v>
      </c>
      <c r="F652" s="504">
        <f>E652/D652*100</f>
        <v>4</v>
      </c>
      <c r="G652" s="505"/>
    </row>
    <row r="653" spans="1:7" s="493" customFormat="1" ht="18.75" customHeight="1">
      <c r="A653" s="535"/>
      <c r="B653" s="488" t="s">
        <v>533</v>
      </c>
      <c r="C653" s="489" t="s">
        <v>534</v>
      </c>
      <c r="D653" s="490">
        <f>SUM(D654,D657)</f>
        <v>250000</v>
      </c>
      <c r="E653" s="490">
        <f>SUM(E654,E657)</f>
        <v>0</v>
      </c>
      <c r="F653" s="504">
        <f t="shared" si="37"/>
        <v>0</v>
      </c>
      <c r="G653" s="485"/>
    </row>
    <row r="654" spans="1:7" s="499" customFormat="1" ht="18.75" customHeight="1" hidden="1">
      <c r="A654" s="494"/>
      <c r="B654" s="495"/>
      <c r="C654" s="496" t="s">
        <v>838</v>
      </c>
      <c r="D654" s="360">
        <f>SUM(D655)</f>
        <v>0</v>
      </c>
      <c r="E654" s="360">
        <f>SUM(E655)</f>
        <v>0</v>
      </c>
      <c r="F654" s="497" t="e">
        <f t="shared" si="37"/>
        <v>#DIV/0!</v>
      </c>
      <c r="G654" s="498"/>
    </row>
    <row r="655" spans="1:7" s="506" customFormat="1" ht="18" customHeight="1" hidden="1">
      <c r="A655" s="500"/>
      <c r="B655" s="501"/>
      <c r="C655" s="502" t="s">
        <v>976</v>
      </c>
      <c r="D655" s="503">
        <f>SUM(D656)</f>
        <v>0</v>
      </c>
      <c r="E655" s="503">
        <f>SUM(E656)</f>
        <v>0</v>
      </c>
      <c r="F655" s="504" t="e">
        <f t="shared" si="37"/>
        <v>#DIV/0!</v>
      </c>
      <c r="G655" s="505"/>
    </row>
    <row r="656" spans="1:7" s="512" customFormat="1" ht="18.75" customHeight="1" hidden="1">
      <c r="A656" s="507"/>
      <c r="B656" s="508"/>
      <c r="C656" s="509" t="s">
        <v>977</v>
      </c>
      <c r="D656" s="510">
        <v>0</v>
      </c>
      <c r="E656" s="510">
        <v>0</v>
      </c>
      <c r="F656" s="511" t="e">
        <f t="shared" si="37"/>
        <v>#DIV/0!</v>
      </c>
      <c r="G656" s="505"/>
    </row>
    <row r="657" spans="1:7" s="499" customFormat="1" ht="18.75" customHeight="1">
      <c r="A657" s="494"/>
      <c r="B657" s="495"/>
      <c r="C657" s="496" t="s">
        <v>979</v>
      </c>
      <c r="D657" s="360">
        <f>SUM(D658,D659)</f>
        <v>250000</v>
      </c>
      <c r="E657" s="360">
        <f>SUM(E658,E659)</f>
        <v>0</v>
      </c>
      <c r="F657" s="497">
        <f t="shared" si="37"/>
        <v>0</v>
      </c>
      <c r="G657" s="498"/>
    </row>
    <row r="658" spans="1:7" s="506" customFormat="1" ht="18" customHeight="1" hidden="1">
      <c r="A658" s="500"/>
      <c r="B658" s="501"/>
      <c r="C658" s="502" t="s">
        <v>989</v>
      </c>
      <c r="D658" s="503">
        <v>0</v>
      </c>
      <c r="E658" s="503">
        <v>0</v>
      </c>
      <c r="F658" s="504" t="e">
        <f t="shared" si="37"/>
        <v>#DIV/0!</v>
      </c>
      <c r="G658" s="505"/>
    </row>
    <row r="659" spans="1:7" s="506" customFormat="1" ht="27" customHeight="1">
      <c r="A659" s="534"/>
      <c r="B659" s="501"/>
      <c r="C659" s="502" t="s">
        <v>251</v>
      </c>
      <c r="D659" s="503">
        <v>250000</v>
      </c>
      <c r="E659" s="503">
        <v>0</v>
      </c>
      <c r="F659" s="504">
        <f t="shared" si="37"/>
        <v>0</v>
      </c>
      <c r="G659" s="505"/>
    </row>
    <row r="660" spans="1:8" s="540" customFormat="1" ht="18.75" customHeight="1">
      <c r="A660" s="535"/>
      <c r="B660" s="488" t="s">
        <v>866</v>
      </c>
      <c r="C660" s="531" t="s">
        <v>176</v>
      </c>
      <c r="D660" s="490">
        <f>SUM(D661,D667)</f>
        <v>2439150</v>
      </c>
      <c r="E660" s="490">
        <f>SUM(E661,E667)</f>
        <v>1081317.77</v>
      </c>
      <c r="F660" s="491">
        <f t="shared" si="37"/>
        <v>44.33174548510752</v>
      </c>
      <c r="G660" s="505"/>
      <c r="H660" s="506"/>
    </row>
    <row r="661" spans="1:7" s="499" customFormat="1" ht="18.75" customHeight="1">
      <c r="A661" s="494"/>
      <c r="B661" s="495"/>
      <c r="C661" s="496" t="s">
        <v>838</v>
      </c>
      <c r="D661" s="360">
        <f>SUM(D662,D665,D666)</f>
        <v>2439150</v>
      </c>
      <c r="E661" s="360">
        <f>SUM(E662,E665,E666)</f>
        <v>1081317.77</v>
      </c>
      <c r="F661" s="497">
        <f t="shared" si="37"/>
        <v>44.33174548510752</v>
      </c>
      <c r="G661" s="498"/>
    </row>
    <row r="662" spans="1:7" s="506" customFormat="1" ht="18" customHeight="1">
      <c r="A662" s="500"/>
      <c r="B662" s="501"/>
      <c r="C662" s="502" t="s">
        <v>976</v>
      </c>
      <c r="D662" s="503">
        <f>SUM(D664,D663)</f>
        <v>773000</v>
      </c>
      <c r="E662" s="503">
        <f>SUM(E664,E663)</f>
        <v>126771.4</v>
      </c>
      <c r="F662" s="504">
        <f t="shared" si="37"/>
        <v>16.399922380336353</v>
      </c>
      <c r="G662" s="505"/>
    </row>
    <row r="663" spans="1:7" s="512" customFormat="1" ht="18.75" customHeight="1" hidden="1">
      <c r="A663" s="507"/>
      <c r="B663" s="508"/>
      <c r="C663" s="509" t="s">
        <v>1096</v>
      </c>
      <c r="D663" s="510">
        <v>0</v>
      </c>
      <c r="E663" s="510">
        <v>0</v>
      </c>
      <c r="F663" s="511" t="e">
        <f t="shared" si="37"/>
        <v>#DIV/0!</v>
      </c>
      <c r="G663" s="505"/>
    </row>
    <row r="664" spans="1:7" s="512" customFormat="1" ht="18.75" customHeight="1">
      <c r="A664" s="507"/>
      <c r="B664" s="508"/>
      <c r="C664" s="509" t="s">
        <v>977</v>
      </c>
      <c r="D664" s="510">
        <v>773000</v>
      </c>
      <c r="E664" s="510">
        <v>126771.4</v>
      </c>
      <c r="F664" s="511">
        <f t="shared" si="37"/>
        <v>16.399922380336353</v>
      </c>
      <c r="G664" s="505"/>
    </row>
    <row r="665" spans="1:7" s="506" customFormat="1" ht="18.75" customHeight="1">
      <c r="A665" s="534"/>
      <c r="B665" s="501"/>
      <c r="C665" s="502" t="s">
        <v>978</v>
      </c>
      <c r="D665" s="503">
        <v>1666150</v>
      </c>
      <c r="E665" s="503">
        <v>954546.37</v>
      </c>
      <c r="F665" s="504">
        <f t="shared" si="37"/>
        <v>57.29054226810311</v>
      </c>
      <c r="G665" s="530"/>
    </row>
    <row r="666" spans="1:7" s="506" customFormat="1" ht="18.75" customHeight="1" hidden="1">
      <c r="A666" s="534"/>
      <c r="B666" s="501"/>
      <c r="C666" s="548" t="s">
        <v>982</v>
      </c>
      <c r="D666" s="503">
        <v>0</v>
      </c>
      <c r="E666" s="503">
        <v>0</v>
      </c>
      <c r="F666" s="504" t="e">
        <f t="shared" si="37"/>
        <v>#DIV/0!</v>
      </c>
      <c r="G666" s="505"/>
    </row>
    <row r="667" spans="1:7" s="506" customFormat="1" ht="18.75" customHeight="1" hidden="1">
      <c r="A667" s="534"/>
      <c r="B667" s="501"/>
      <c r="C667" s="496" t="s">
        <v>979</v>
      </c>
      <c r="D667" s="360">
        <f>SUM(D668)</f>
        <v>0</v>
      </c>
      <c r="E667" s="360">
        <f>SUM(E668)</f>
        <v>0</v>
      </c>
      <c r="F667" s="497" t="e">
        <f>E667/D667*100</f>
        <v>#DIV/0!</v>
      </c>
      <c r="G667" s="505"/>
    </row>
    <row r="668" spans="1:7" s="506" customFormat="1" ht="26.25" customHeight="1" hidden="1">
      <c r="A668" s="534"/>
      <c r="B668" s="501"/>
      <c r="C668" s="502" t="s">
        <v>251</v>
      </c>
      <c r="D668" s="503">
        <v>0</v>
      </c>
      <c r="E668" s="503">
        <v>0</v>
      </c>
      <c r="F668" s="504" t="e">
        <f>E668/D668*100</f>
        <v>#DIV/0!</v>
      </c>
      <c r="G668" s="505"/>
    </row>
    <row r="669" spans="1:8" s="540" customFormat="1" ht="18.75" customHeight="1">
      <c r="A669" s="480" t="s">
        <v>116</v>
      </c>
      <c r="B669" s="481"/>
      <c r="C669" s="533" t="s">
        <v>103</v>
      </c>
      <c r="D669" s="483">
        <f>SUM(D670,D674)</f>
        <v>15889785</v>
      </c>
      <c r="E669" s="483">
        <f>SUM(E670,E674)</f>
        <v>2386802.35</v>
      </c>
      <c r="F669" s="484">
        <f aca="true" t="shared" si="38" ref="F669:F728">E669/D669*100</f>
        <v>15.020985809436693</v>
      </c>
      <c r="G669" s="505"/>
      <c r="H669" s="506"/>
    </row>
    <row r="670" spans="1:8" s="540" customFormat="1" ht="18.75" customHeight="1">
      <c r="A670" s="487"/>
      <c r="B670" s="488" t="s">
        <v>119</v>
      </c>
      <c r="C670" s="531" t="s">
        <v>120</v>
      </c>
      <c r="D670" s="490">
        <f>SUM(D671)</f>
        <v>10800000</v>
      </c>
      <c r="E670" s="490">
        <f>SUM(E671)</f>
        <v>123905.16</v>
      </c>
      <c r="F670" s="491">
        <f t="shared" si="38"/>
        <v>1.14727</v>
      </c>
      <c r="G670" s="505"/>
      <c r="H670" s="506"/>
    </row>
    <row r="671" spans="1:7" s="499" customFormat="1" ht="18.75" customHeight="1">
      <c r="A671" s="494"/>
      <c r="B671" s="495"/>
      <c r="C671" s="496" t="s">
        <v>979</v>
      </c>
      <c r="D671" s="360">
        <f>SUM(D672,D673)</f>
        <v>10800000</v>
      </c>
      <c r="E671" s="360">
        <f>SUM(E672,E673)</f>
        <v>123905.16</v>
      </c>
      <c r="F671" s="497">
        <f t="shared" si="38"/>
        <v>1.14727</v>
      </c>
      <c r="G671" s="498"/>
    </row>
    <row r="672" spans="1:7" s="506" customFormat="1" ht="28.5" customHeight="1">
      <c r="A672" s="500"/>
      <c r="B672" s="501"/>
      <c r="C672" s="502" t="s">
        <v>251</v>
      </c>
      <c r="D672" s="503">
        <v>10800000</v>
      </c>
      <c r="E672" s="503">
        <v>123905.16</v>
      </c>
      <c r="F672" s="504">
        <f>E672/D672*100</f>
        <v>1.14727</v>
      </c>
      <c r="G672" s="530"/>
    </row>
    <row r="673" spans="1:8" s="506" customFormat="1" ht="18" customHeight="1" hidden="1">
      <c r="A673" s="500"/>
      <c r="B673" s="501"/>
      <c r="C673" s="502" t="s">
        <v>989</v>
      </c>
      <c r="D673" s="503">
        <v>0</v>
      </c>
      <c r="E673" s="503">
        <v>0</v>
      </c>
      <c r="F673" s="504" t="e">
        <f>E673/D673*100</f>
        <v>#DIV/0!</v>
      </c>
      <c r="G673" s="505">
        <v>414054.14</v>
      </c>
      <c r="H673" s="506" t="s">
        <v>1222</v>
      </c>
    </row>
    <row r="674" spans="1:8" s="540" customFormat="1" ht="18.75" customHeight="1">
      <c r="A674" s="487"/>
      <c r="B674" s="488" t="s">
        <v>121</v>
      </c>
      <c r="C674" s="489" t="s">
        <v>107</v>
      </c>
      <c r="D674" s="490">
        <f>SUM(D675,D681)</f>
        <v>5089785</v>
      </c>
      <c r="E674" s="490">
        <f>SUM(E675,E681)</f>
        <v>2262897.19</v>
      </c>
      <c r="F674" s="491">
        <f t="shared" si="38"/>
        <v>44.45958306686825</v>
      </c>
      <c r="G674" s="505"/>
      <c r="H674" s="506"/>
    </row>
    <row r="675" spans="1:7" s="499" customFormat="1" ht="18.75" customHeight="1">
      <c r="A675" s="494"/>
      <c r="B675" s="495"/>
      <c r="C675" s="496" t="s">
        <v>838</v>
      </c>
      <c r="D675" s="360">
        <f>SUM(D676,D679,D680)</f>
        <v>3910000</v>
      </c>
      <c r="E675" s="360">
        <f>SUM(E676,E679,E680)</f>
        <v>2055384.19</v>
      </c>
      <c r="F675" s="497">
        <f t="shared" si="38"/>
        <v>52.5673705882353</v>
      </c>
      <c r="G675" s="498"/>
    </row>
    <row r="676" spans="1:7" s="506" customFormat="1" ht="18" customHeight="1">
      <c r="A676" s="500"/>
      <c r="B676" s="501"/>
      <c r="C676" s="502" t="s">
        <v>976</v>
      </c>
      <c r="D676" s="503">
        <f>SUM(D678,D677)</f>
        <v>98500</v>
      </c>
      <c r="E676" s="503">
        <f>SUM(E678,E677)</f>
        <v>2910.65</v>
      </c>
      <c r="F676" s="504">
        <f t="shared" si="38"/>
        <v>2.9549746192893402</v>
      </c>
      <c r="G676" s="505"/>
    </row>
    <row r="677" spans="1:7" s="512" customFormat="1" ht="18.75" customHeight="1">
      <c r="A677" s="507"/>
      <c r="B677" s="508"/>
      <c r="C677" s="509" t="s">
        <v>1096</v>
      </c>
      <c r="D677" s="510">
        <v>5000</v>
      </c>
      <c r="E677" s="510">
        <v>195.96</v>
      </c>
      <c r="F677" s="511">
        <f t="shared" si="38"/>
        <v>3.9192000000000005</v>
      </c>
      <c r="G677" s="505"/>
    </row>
    <row r="678" spans="1:7" s="512" customFormat="1" ht="18.75" customHeight="1">
      <c r="A678" s="507"/>
      <c r="B678" s="508"/>
      <c r="C678" s="509" t="s">
        <v>977</v>
      </c>
      <c r="D678" s="510">
        <v>93500</v>
      </c>
      <c r="E678" s="510">
        <v>2714.69</v>
      </c>
      <c r="F678" s="511">
        <f t="shared" si="38"/>
        <v>2.9034117647058824</v>
      </c>
      <c r="G678" s="505"/>
    </row>
    <row r="679" spans="1:7" s="506" customFormat="1" ht="18.75" customHeight="1">
      <c r="A679" s="534"/>
      <c r="B679" s="501"/>
      <c r="C679" s="502" t="s">
        <v>978</v>
      </c>
      <c r="D679" s="503">
        <v>3711500</v>
      </c>
      <c r="E679" s="503">
        <v>2003809.58</v>
      </c>
      <c r="F679" s="504">
        <f t="shared" si="38"/>
        <v>53.989211370066016</v>
      </c>
      <c r="G679" s="530"/>
    </row>
    <row r="680" spans="1:7" s="506" customFormat="1" ht="18.75" customHeight="1">
      <c r="A680" s="534"/>
      <c r="B680" s="501"/>
      <c r="C680" s="548" t="s">
        <v>982</v>
      </c>
      <c r="D680" s="503">
        <v>100000</v>
      </c>
      <c r="E680" s="503">
        <v>48663.96</v>
      </c>
      <c r="F680" s="504">
        <f t="shared" si="38"/>
        <v>48.66396</v>
      </c>
      <c r="G680" s="505"/>
    </row>
    <row r="681" spans="1:7" s="499" customFormat="1" ht="18.75" customHeight="1">
      <c r="A681" s="494"/>
      <c r="B681" s="495"/>
      <c r="C681" s="496" t="s">
        <v>979</v>
      </c>
      <c r="D681" s="360">
        <f>SUM(D682,D683)</f>
        <v>1179785</v>
      </c>
      <c r="E681" s="360">
        <f>SUM(E682,E683)</f>
        <v>207513</v>
      </c>
      <c r="F681" s="497">
        <f t="shared" si="38"/>
        <v>17.58905224256962</v>
      </c>
      <c r="G681" s="498"/>
    </row>
    <row r="682" spans="1:7" s="506" customFormat="1" ht="28.5" customHeight="1">
      <c r="A682" s="500"/>
      <c r="B682" s="501"/>
      <c r="C682" s="502" t="s">
        <v>251</v>
      </c>
      <c r="D682" s="503">
        <v>1179785</v>
      </c>
      <c r="E682" s="503">
        <v>207513</v>
      </c>
      <c r="F682" s="504">
        <f t="shared" si="38"/>
        <v>17.58905224256962</v>
      </c>
      <c r="G682" s="530"/>
    </row>
    <row r="683" spans="1:7" s="506" customFormat="1" ht="21.75" customHeight="1" hidden="1">
      <c r="A683" s="500"/>
      <c r="B683" s="501"/>
      <c r="C683" s="502" t="s">
        <v>989</v>
      </c>
      <c r="D683" s="503">
        <v>0</v>
      </c>
      <c r="E683" s="503">
        <v>0</v>
      </c>
      <c r="F683" s="504" t="e">
        <f>E683/D683*100</f>
        <v>#DIV/0!</v>
      </c>
      <c r="G683" s="530"/>
    </row>
    <row r="684" spans="1:7" s="3" customFormat="1" ht="18.75" customHeight="1">
      <c r="A684" s="1476" t="s">
        <v>649</v>
      </c>
      <c r="B684" s="1477"/>
      <c r="C684" s="1478"/>
      <c r="D684" s="282">
        <f>SUM(D685,D690,D704,D712,D720,D752,D774,D804,D810,D814,D873,D907,D950,D986,D1036,D1049)</f>
        <v>128703229</v>
      </c>
      <c r="E684" s="282">
        <f>SUM(E685,E690,E704,E712,E720,E752,E774,E804,E810,E814,E873,E907,E950,E986,E1036,E1049)</f>
        <v>40645248.99</v>
      </c>
      <c r="F684" s="598">
        <f t="shared" si="38"/>
        <v>31.580597709790176</v>
      </c>
      <c r="G684" s="1"/>
    </row>
    <row r="685" spans="1:7" s="3" customFormat="1" ht="18.75" customHeight="1">
      <c r="A685" s="553" t="s">
        <v>175</v>
      </c>
      <c r="B685" s="554"/>
      <c r="C685" s="555" t="s">
        <v>1078</v>
      </c>
      <c r="D685" s="556">
        <f aca="true" t="shared" si="39" ref="D685:E688">SUM(D686)</f>
        <v>800</v>
      </c>
      <c r="E685" s="556">
        <f t="shared" si="39"/>
        <v>0</v>
      </c>
      <c r="F685" s="557">
        <f>E685/D685*100</f>
        <v>0</v>
      </c>
      <c r="G685" s="1"/>
    </row>
    <row r="686" spans="1:7" ht="18.75" customHeight="1">
      <c r="A686" s="558"/>
      <c r="B686" s="488" t="s">
        <v>1083</v>
      </c>
      <c r="C686" s="531" t="s">
        <v>176</v>
      </c>
      <c r="D686" s="364">
        <f t="shared" si="39"/>
        <v>800</v>
      </c>
      <c r="E686" s="364">
        <f t="shared" si="39"/>
        <v>0</v>
      </c>
      <c r="F686" s="559">
        <f>E686/D686*100</f>
        <v>0</v>
      </c>
      <c r="G686" s="247"/>
    </row>
    <row r="687" spans="1:7" s="3" customFormat="1" ht="18.75" customHeight="1">
      <c r="A687" s="560"/>
      <c r="B687" s="495"/>
      <c r="C687" s="496" t="s">
        <v>838</v>
      </c>
      <c r="D687" s="359">
        <f t="shared" si="39"/>
        <v>800</v>
      </c>
      <c r="E687" s="359">
        <f t="shared" si="39"/>
        <v>0</v>
      </c>
      <c r="F687" s="561">
        <f>E687/D687*100</f>
        <v>0</v>
      </c>
      <c r="G687" s="1"/>
    </row>
    <row r="688" spans="1:7" s="3" customFormat="1" ht="24" customHeight="1">
      <c r="A688" s="562"/>
      <c r="B688" s="501"/>
      <c r="C688" s="502" t="s">
        <v>976</v>
      </c>
      <c r="D688" s="563">
        <f t="shared" si="39"/>
        <v>800</v>
      </c>
      <c r="E688" s="563">
        <f t="shared" si="39"/>
        <v>0</v>
      </c>
      <c r="F688" s="564">
        <f>E688/D688*100</f>
        <v>0</v>
      </c>
      <c r="G688" s="1"/>
    </row>
    <row r="689" spans="1:7" s="569" customFormat="1" ht="18.75" customHeight="1">
      <c r="A689" s="565"/>
      <c r="B689" s="508"/>
      <c r="C689" s="509" t="s">
        <v>977</v>
      </c>
      <c r="D689" s="566">
        <v>800</v>
      </c>
      <c r="E689" s="566">
        <v>0</v>
      </c>
      <c r="F689" s="567">
        <f t="shared" si="38"/>
        <v>0</v>
      </c>
      <c r="G689" s="568"/>
    </row>
    <row r="690" spans="1:7" s="3" customFormat="1" ht="18.75" customHeight="1">
      <c r="A690" s="553" t="s">
        <v>263</v>
      </c>
      <c r="B690" s="481"/>
      <c r="C690" s="482" t="s">
        <v>264</v>
      </c>
      <c r="D690" s="556">
        <f>SUM(D691,D694)</f>
        <v>77726100</v>
      </c>
      <c r="E690" s="556">
        <f>SUM(E691,E694)</f>
        <v>16872204.79</v>
      </c>
      <c r="F690" s="557">
        <f t="shared" si="38"/>
        <v>21.707257652191476</v>
      </c>
      <c r="G690" s="1"/>
    </row>
    <row r="691" spans="1:7" ht="18.75" customHeight="1" hidden="1">
      <c r="A691" s="558"/>
      <c r="B691" s="570" t="s">
        <v>651</v>
      </c>
      <c r="C691" s="571" t="s">
        <v>846</v>
      </c>
      <c r="D691" s="364">
        <f>SUM(D692)</f>
        <v>0</v>
      </c>
      <c r="E691" s="364">
        <f>SUM(E692)</f>
        <v>0</v>
      </c>
      <c r="F691" s="559" t="e">
        <f t="shared" si="38"/>
        <v>#DIV/0!</v>
      </c>
      <c r="G691" s="247"/>
    </row>
    <row r="692" spans="1:7" s="3" customFormat="1" ht="18.75" customHeight="1" hidden="1">
      <c r="A692" s="560"/>
      <c r="B692" s="572"/>
      <c r="C692" s="573" t="s">
        <v>979</v>
      </c>
      <c r="D692" s="359">
        <f>SUM(D693)</f>
        <v>0</v>
      </c>
      <c r="E692" s="359">
        <f>SUM(E693)</f>
        <v>0</v>
      </c>
      <c r="F692" s="561" t="e">
        <f>E692/D692*100</f>
        <v>#DIV/0!</v>
      </c>
      <c r="G692" s="1"/>
    </row>
    <row r="693" spans="1:7" s="3" customFormat="1" ht="24" customHeight="1" hidden="1">
      <c r="A693" s="562"/>
      <c r="B693" s="574"/>
      <c r="C693" s="575" t="s">
        <v>251</v>
      </c>
      <c r="D693" s="563">
        <v>0</v>
      </c>
      <c r="E693" s="563">
        <v>0</v>
      </c>
      <c r="F693" s="564" t="e">
        <f>E693/D693*100</f>
        <v>#DIV/0!</v>
      </c>
      <c r="G693" s="1"/>
    </row>
    <row r="694" spans="1:6" ht="39" customHeight="1">
      <c r="A694" s="558"/>
      <c r="B694" s="570" t="s">
        <v>265</v>
      </c>
      <c r="C694" s="376" t="s">
        <v>421</v>
      </c>
      <c r="D694" s="364">
        <f>SUM(D695,D701)</f>
        <v>77726100</v>
      </c>
      <c r="E694" s="364">
        <f>SUM(E695,E701)</f>
        <v>16872204.79</v>
      </c>
      <c r="F694" s="559">
        <f t="shared" si="38"/>
        <v>21.707257652191476</v>
      </c>
    </row>
    <row r="695" spans="1:7" s="363" customFormat="1" ht="18.75" customHeight="1">
      <c r="A695" s="560"/>
      <c r="B695" s="572"/>
      <c r="C695" s="573" t="s">
        <v>838</v>
      </c>
      <c r="D695" s="359">
        <f>SUM(D696,D699,D700)</f>
        <v>51075100</v>
      </c>
      <c r="E695" s="359">
        <f>SUM(E696,E699,E700)</f>
        <v>15185187.11</v>
      </c>
      <c r="F695" s="561">
        <f t="shared" si="38"/>
        <v>29.731096189728458</v>
      </c>
      <c r="G695" s="576"/>
    </row>
    <row r="696" spans="1:7" s="275" customFormat="1" ht="18" customHeight="1">
      <c r="A696" s="562"/>
      <c r="B696" s="574"/>
      <c r="C696" s="575" t="s">
        <v>976</v>
      </c>
      <c r="D696" s="563">
        <f>SUM(D697,D698)</f>
        <v>50340100</v>
      </c>
      <c r="E696" s="563">
        <f>SUM(E697,E698)</f>
        <v>14842858.09</v>
      </c>
      <c r="F696" s="564">
        <f t="shared" si="38"/>
        <v>29.485158134370014</v>
      </c>
      <c r="G696" s="568"/>
    </row>
    <row r="697" spans="1:7" s="569" customFormat="1" ht="18.75" customHeight="1">
      <c r="A697" s="565"/>
      <c r="B697" s="577"/>
      <c r="C697" s="578" t="s">
        <v>977</v>
      </c>
      <c r="D697" s="579">
        <v>33242000</v>
      </c>
      <c r="E697" s="579">
        <v>6121631.69</v>
      </c>
      <c r="F697" s="580">
        <f t="shared" si="38"/>
        <v>18.41535313759702</v>
      </c>
      <c r="G697" s="568"/>
    </row>
    <row r="698" spans="1:7" s="569" customFormat="1" ht="18.75" customHeight="1">
      <c r="A698" s="565"/>
      <c r="B698" s="577"/>
      <c r="C698" s="578" t="s">
        <v>1096</v>
      </c>
      <c r="D698" s="579">
        <v>17098100</v>
      </c>
      <c r="E698" s="579">
        <v>8721226.4</v>
      </c>
      <c r="F698" s="580">
        <f t="shared" si="38"/>
        <v>51.00699142009931</v>
      </c>
      <c r="G698" s="568"/>
    </row>
    <row r="699" spans="1:7" s="569" customFormat="1" ht="18.75" customHeight="1" hidden="1">
      <c r="A699" s="581"/>
      <c r="B699" s="577"/>
      <c r="C699" s="582" t="s">
        <v>989</v>
      </c>
      <c r="D699" s="563">
        <v>0</v>
      </c>
      <c r="E699" s="563">
        <v>0</v>
      </c>
      <c r="F699" s="564" t="e">
        <f t="shared" si="38"/>
        <v>#DIV/0!</v>
      </c>
      <c r="G699" s="568"/>
    </row>
    <row r="700" spans="1:7" s="275" customFormat="1" ht="18.75" customHeight="1">
      <c r="A700" s="583"/>
      <c r="B700" s="574"/>
      <c r="C700" s="582" t="s">
        <v>982</v>
      </c>
      <c r="D700" s="563">
        <v>735000</v>
      </c>
      <c r="E700" s="563">
        <v>342329.02</v>
      </c>
      <c r="F700" s="564">
        <f t="shared" si="38"/>
        <v>46.5753768707483</v>
      </c>
      <c r="G700" s="568"/>
    </row>
    <row r="701" spans="1:7" s="363" customFormat="1" ht="18.75" customHeight="1">
      <c r="A701" s="560"/>
      <c r="B701" s="572"/>
      <c r="C701" s="573" t="s">
        <v>979</v>
      </c>
      <c r="D701" s="359">
        <f>SUM(D702,D703)</f>
        <v>26651000</v>
      </c>
      <c r="E701" s="359">
        <f>SUM(E702,E703)</f>
        <v>1687017.6800000002</v>
      </c>
      <c r="F701" s="561">
        <f t="shared" si="38"/>
        <v>6.3300351956774605</v>
      </c>
      <c r="G701" s="576"/>
    </row>
    <row r="702" spans="1:7" s="275" customFormat="1" ht="27.75" customHeight="1">
      <c r="A702" s="562"/>
      <c r="B702" s="574"/>
      <c r="C702" s="575" t="s">
        <v>251</v>
      </c>
      <c r="D702" s="563">
        <v>13590000</v>
      </c>
      <c r="E702" s="563">
        <v>1598760.58</v>
      </c>
      <c r="F702" s="564">
        <f t="shared" si="38"/>
        <v>11.76424267844003</v>
      </c>
      <c r="G702" s="584"/>
    </row>
    <row r="703" spans="1:7" s="569" customFormat="1" ht="18.75" customHeight="1">
      <c r="A703" s="581"/>
      <c r="B703" s="577"/>
      <c r="C703" s="582" t="s">
        <v>989</v>
      </c>
      <c r="D703" s="563">
        <v>13061000</v>
      </c>
      <c r="E703" s="563">
        <v>88257.1</v>
      </c>
      <c r="F703" s="564">
        <f>E703/D703*100</f>
        <v>0.6757300359849936</v>
      </c>
      <c r="G703" s="568"/>
    </row>
    <row r="704" spans="1:7" s="3" customFormat="1" ht="18" customHeight="1" hidden="1">
      <c r="A704" s="553" t="s">
        <v>268</v>
      </c>
      <c r="B704" s="554"/>
      <c r="C704" s="555" t="s">
        <v>269</v>
      </c>
      <c r="D704" s="556">
        <f>SUM(D705)</f>
        <v>0</v>
      </c>
      <c r="E704" s="556">
        <f>SUM(E705)</f>
        <v>0</v>
      </c>
      <c r="F704" s="557" t="e">
        <f aca="true" t="shared" si="40" ref="F704:F711">E704/D704*100</f>
        <v>#DIV/0!</v>
      </c>
      <c r="G704" s="1"/>
    </row>
    <row r="705" spans="1:6" ht="17.25" customHeight="1" hidden="1">
      <c r="A705" s="558"/>
      <c r="B705" s="570" t="s">
        <v>1097</v>
      </c>
      <c r="C705" s="376" t="s">
        <v>176</v>
      </c>
      <c r="D705" s="364">
        <f>SUM(D706,D710)</f>
        <v>0</v>
      </c>
      <c r="E705" s="364">
        <f>SUM(E706,E710)</f>
        <v>0</v>
      </c>
      <c r="F705" s="559" t="e">
        <f t="shared" si="40"/>
        <v>#DIV/0!</v>
      </c>
    </row>
    <row r="706" spans="1:7" s="363" customFormat="1" ht="18.75" customHeight="1" hidden="1">
      <c r="A706" s="560"/>
      <c r="B706" s="572"/>
      <c r="C706" s="573" t="s">
        <v>838</v>
      </c>
      <c r="D706" s="359">
        <f>SUM(D707)</f>
        <v>0</v>
      </c>
      <c r="E706" s="359">
        <f>SUM(E707)</f>
        <v>0</v>
      </c>
      <c r="F706" s="561" t="e">
        <f t="shared" si="40"/>
        <v>#DIV/0!</v>
      </c>
      <c r="G706" s="576"/>
    </row>
    <row r="707" spans="1:7" s="275" customFormat="1" ht="18" customHeight="1" hidden="1">
      <c r="A707" s="562"/>
      <c r="B707" s="574"/>
      <c r="C707" s="575" t="s">
        <v>976</v>
      </c>
      <c r="D707" s="563">
        <f>SUM(D708,D709)</f>
        <v>0</v>
      </c>
      <c r="E707" s="563">
        <f>SUM(E708,E709)</f>
        <v>0</v>
      </c>
      <c r="F707" s="564" t="e">
        <f t="shared" si="40"/>
        <v>#DIV/0!</v>
      </c>
      <c r="G707" s="568"/>
    </row>
    <row r="708" spans="1:7" s="569" customFormat="1" ht="18.75" customHeight="1" hidden="1">
      <c r="A708" s="565"/>
      <c r="B708" s="577"/>
      <c r="C708" s="578" t="s">
        <v>977</v>
      </c>
      <c r="D708" s="579">
        <v>0</v>
      </c>
      <c r="E708" s="579">
        <v>0</v>
      </c>
      <c r="F708" s="580" t="e">
        <f t="shared" si="40"/>
        <v>#DIV/0!</v>
      </c>
      <c r="G708" s="568"/>
    </row>
    <row r="709" spans="1:7" s="569" customFormat="1" ht="18.75" customHeight="1" hidden="1">
      <c r="A709" s="565"/>
      <c r="B709" s="577"/>
      <c r="C709" s="578" t="s">
        <v>1096</v>
      </c>
      <c r="D709" s="579">
        <v>0</v>
      </c>
      <c r="E709" s="579">
        <v>0</v>
      </c>
      <c r="F709" s="580" t="e">
        <f t="shared" si="40"/>
        <v>#DIV/0!</v>
      </c>
      <c r="G709" s="568"/>
    </row>
    <row r="710" spans="1:7" s="363" customFormat="1" ht="18.75" customHeight="1" hidden="1">
      <c r="A710" s="560"/>
      <c r="B710" s="572"/>
      <c r="C710" s="573" t="s">
        <v>979</v>
      </c>
      <c r="D710" s="359">
        <f>SUM(D711)</f>
        <v>0</v>
      </c>
      <c r="E710" s="359">
        <f>SUM(E711)</f>
        <v>0</v>
      </c>
      <c r="F710" s="561" t="e">
        <f t="shared" si="40"/>
        <v>#DIV/0!</v>
      </c>
      <c r="G710" s="576"/>
    </row>
    <row r="711" spans="1:7" s="275" customFormat="1" ht="27" customHeight="1" hidden="1">
      <c r="A711" s="562"/>
      <c r="B711" s="574"/>
      <c r="C711" s="575" t="s">
        <v>251</v>
      </c>
      <c r="D711" s="563">
        <v>0</v>
      </c>
      <c r="E711" s="563">
        <v>0</v>
      </c>
      <c r="F711" s="564" t="e">
        <f t="shared" si="40"/>
        <v>#DIV/0!</v>
      </c>
      <c r="G711" s="584"/>
    </row>
    <row r="712" spans="1:7" s="3" customFormat="1" ht="18" customHeight="1">
      <c r="A712" s="553" t="s">
        <v>270</v>
      </c>
      <c r="B712" s="554"/>
      <c r="C712" s="555" t="s">
        <v>216</v>
      </c>
      <c r="D712" s="556">
        <f>SUM(D713)</f>
        <v>229023</v>
      </c>
      <c r="E712" s="556">
        <f>SUM(E713)</f>
        <v>144041.03999999998</v>
      </c>
      <c r="F712" s="557">
        <f t="shared" si="38"/>
        <v>62.89370063268753</v>
      </c>
      <c r="G712" s="1"/>
    </row>
    <row r="713" spans="1:6" ht="17.25" customHeight="1">
      <c r="A713" s="558"/>
      <c r="B713" s="570" t="s">
        <v>217</v>
      </c>
      <c r="C713" s="376" t="s">
        <v>218</v>
      </c>
      <c r="D713" s="364">
        <f>SUM(D714,D718)</f>
        <v>229023</v>
      </c>
      <c r="E713" s="364">
        <f>SUM(E714,E718)</f>
        <v>144041.03999999998</v>
      </c>
      <c r="F713" s="559">
        <f t="shared" si="38"/>
        <v>62.89370063268753</v>
      </c>
    </row>
    <row r="714" spans="1:7" s="363" customFormat="1" ht="18.75" customHeight="1">
      <c r="A714" s="560"/>
      <c r="B714" s="572"/>
      <c r="C714" s="573" t="s">
        <v>838</v>
      </c>
      <c r="D714" s="359">
        <f>SUM(D715)</f>
        <v>223900</v>
      </c>
      <c r="E714" s="359">
        <f>SUM(E715)</f>
        <v>143918.03999999998</v>
      </c>
      <c r="F714" s="561">
        <f t="shared" si="38"/>
        <v>64.2778204555605</v>
      </c>
      <c r="G714" s="576"/>
    </row>
    <row r="715" spans="1:7" s="275" customFormat="1" ht="18" customHeight="1">
      <c r="A715" s="562"/>
      <c r="B715" s="574"/>
      <c r="C715" s="575" t="s">
        <v>976</v>
      </c>
      <c r="D715" s="563">
        <f>SUM(D716,D717)</f>
        <v>223900</v>
      </c>
      <c r="E715" s="563">
        <f>SUM(E716,E717)</f>
        <v>143918.03999999998</v>
      </c>
      <c r="F715" s="564">
        <f t="shared" si="38"/>
        <v>64.2778204555605</v>
      </c>
      <c r="G715" s="568"/>
    </row>
    <row r="716" spans="1:7" s="569" customFormat="1" ht="18.75" customHeight="1">
      <c r="A716" s="565"/>
      <c r="B716" s="577"/>
      <c r="C716" s="578" t="s">
        <v>977</v>
      </c>
      <c r="D716" s="579">
        <v>141400</v>
      </c>
      <c r="E716" s="579">
        <v>96720.04</v>
      </c>
      <c r="F716" s="580">
        <f t="shared" si="38"/>
        <v>68.40172560113153</v>
      </c>
      <c r="G716" s="568"/>
    </row>
    <row r="717" spans="1:7" s="569" customFormat="1" ht="18.75" customHeight="1">
      <c r="A717" s="565"/>
      <c r="B717" s="577"/>
      <c r="C717" s="578" t="s">
        <v>1096</v>
      </c>
      <c r="D717" s="579">
        <v>82500</v>
      </c>
      <c r="E717" s="579">
        <v>47198</v>
      </c>
      <c r="F717" s="580">
        <f>E717/D717*100</f>
        <v>57.209696969696964</v>
      </c>
      <c r="G717" s="568"/>
    </row>
    <row r="718" spans="1:7" s="363" customFormat="1" ht="18.75" customHeight="1">
      <c r="A718" s="560"/>
      <c r="B718" s="572"/>
      <c r="C718" s="573" t="s">
        <v>979</v>
      </c>
      <c r="D718" s="359">
        <f>SUM(D719)</f>
        <v>5123</v>
      </c>
      <c r="E718" s="359">
        <f>SUM(E719)</f>
        <v>123</v>
      </c>
      <c r="F718" s="561">
        <f t="shared" si="38"/>
        <v>2.4009369510052703</v>
      </c>
      <c r="G718" s="576"/>
    </row>
    <row r="719" spans="1:7" s="275" customFormat="1" ht="21.75" customHeight="1">
      <c r="A719" s="562"/>
      <c r="B719" s="574"/>
      <c r="C719" s="575" t="s">
        <v>251</v>
      </c>
      <c r="D719" s="563">
        <v>5123</v>
      </c>
      <c r="E719" s="563">
        <v>123</v>
      </c>
      <c r="F719" s="564">
        <f t="shared" si="38"/>
        <v>2.4009369510052703</v>
      </c>
      <c r="G719" s="584"/>
    </row>
    <row r="720" spans="1:7" s="3" customFormat="1" ht="18.75" customHeight="1">
      <c r="A720" s="553" t="s">
        <v>219</v>
      </c>
      <c r="B720" s="554"/>
      <c r="C720" s="589" t="s">
        <v>220</v>
      </c>
      <c r="D720" s="556">
        <f>SUM(D721,D728,D732,D741,D749)</f>
        <v>810000</v>
      </c>
      <c r="E720" s="556">
        <f>SUM(E721,E728,E732,E741,E749)</f>
        <v>220293.40000000002</v>
      </c>
      <c r="F720" s="557">
        <f t="shared" si="38"/>
        <v>27.19671604938272</v>
      </c>
      <c r="G720" s="1"/>
    </row>
    <row r="721" spans="1:6" ht="18.75" customHeight="1">
      <c r="A721" s="558"/>
      <c r="B721" s="570" t="s">
        <v>1310</v>
      </c>
      <c r="C721" s="585" t="s">
        <v>1311</v>
      </c>
      <c r="D721" s="364">
        <f>SUM(D722,D726)</f>
        <v>367000</v>
      </c>
      <c r="E721" s="364">
        <f>SUM(E722,E726)</f>
        <v>23546.22</v>
      </c>
      <c r="F721" s="559">
        <f aca="true" t="shared" si="41" ref="F721:F727">E721/D721*100</f>
        <v>6.4158637602179835</v>
      </c>
    </row>
    <row r="722" spans="1:7" s="363" customFormat="1" ht="18.75" customHeight="1">
      <c r="A722" s="560"/>
      <c r="B722" s="572"/>
      <c r="C722" s="573" t="s">
        <v>838</v>
      </c>
      <c r="D722" s="359">
        <f>SUM(D723)</f>
        <v>362000</v>
      </c>
      <c r="E722" s="359">
        <f>SUM(E723)</f>
        <v>23546.22</v>
      </c>
      <c r="F722" s="561">
        <f t="shared" si="41"/>
        <v>6.5044806629834255</v>
      </c>
      <c r="G722" s="576"/>
    </row>
    <row r="723" spans="1:7" s="275" customFormat="1" ht="18" customHeight="1">
      <c r="A723" s="562"/>
      <c r="B723" s="574"/>
      <c r="C723" s="575" t="s">
        <v>976</v>
      </c>
      <c r="D723" s="563">
        <f>SUM(D724,D725)</f>
        <v>362000</v>
      </c>
      <c r="E723" s="563">
        <f>SUM(E724,E725)</f>
        <v>23546.22</v>
      </c>
      <c r="F723" s="564">
        <f t="shared" si="41"/>
        <v>6.5044806629834255</v>
      </c>
      <c r="G723" s="568"/>
    </row>
    <row r="724" spans="1:7" s="569" customFormat="1" ht="18.75" customHeight="1">
      <c r="A724" s="565"/>
      <c r="B724" s="577"/>
      <c r="C724" s="578" t="s">
        <v>977</v>
      </c>
      <c r="D724" s="579">
        <v>323100</v>
      </c>
      <c r="E724" s="579">
        <v>7596.22</v>
      </c>
      <c r="F724" s="580">
        <f t="shared" si="41"/>
        <v>2.351043020736614</v>
      </c>
      <c r="G724" s="568"/>
    </row>
    <row r="725" spans="1:7" s="569" customFormat="1" ht="18.75" customHeight="1">
      <c r="A725" s="565"/>
      <c r="B725" s="577"/>
      <c r="C725" s="578" t="s">
        <v>1096</v>
      </c>
      <c r="D725" s="579">
        <v>38900</v>
      </c>
      <c r="E725" s="579">
        <v>15950</v>
      </c>
      <c r="F725" s="580">
        <f t="shared" si="41"/>
        <v>41.0025706940874</v>
      </c>
      <c r="G725" s="568"/>
    </row>
    <row r="726" spans="1:7" s="363" customFormat="1" ht="18.75" customHeight="1">
      <c r="A726" s="560"/>
      <c r="B726" s="572"/>
      <c r="C726" s="573" t="s">
        <v>979</v>
      </c>
      <c r="D726" s="359">
        <f>SUM(D727)</f>
        <v>5000</v>
      </c>
      <c r="E726" s="359">
        <f>SUM(E727)</f>
        <v>0</v>
      </c>
      <c r="F726" s="561">
        <f t="shared" si="41"/>
        <v>0</v>
      </c>
      <c r="G726" s="576"/>
    </row>
    <row r="727" spans="1:7" s="275" customFormat="1" ht="21.75" customHeight="1">
      <c r="A727" s="562"/>
      <c r="B727" s="574"/>
      <c r="C727" s="575" t="s">
        <v>251</v>
      </c>
      <c r="D727" s="563">
        <v>5000</v>
      </c>
      <c r="E727" s="563">
        <v>0</v>
      </c>
      <c r="F727" s="564">
        <f t="shared" si="41"/>
        <v>0</v>
      </c>
      <c r="G727" s="584"/>
    </row>
    <row r="728" spans="1:6" ht="18.75" customHeight="1" hidden="1">
      <c r="A728" s="558"/>
      <c r="B728" s="570" t="s">
        <v>221</v>
      </c>
      <c r="C728" s="585" t="s">
        <v>705</v>
      </c>
      <c r="D728" s="364">
        <f>D729</f>
        <v>0</v>
      </c>
      <c r="E728" s="364">
        <f>E729</f>
        <v>0</v>
      </c>
      <c r="F728" s="559" t="e">
        <f t="shared" si="38"/>
        <v>#DIV/0!</v>
      </c>
    </row>
    <row r="729" spans="1:7" s="363" customFormat="1" ht="18.75" customHeight="1" hidden="1">
      <c r="A729" s="560"/>
      <c r="B729" s="572"/>
      <c r="C729" s="573" t="s">
        <v>838</v>
      </c>
      <c r="D729" s="359">
        <f>SUM(D730)</f>
        <v>0</v>
      </c>
      <c r="E729" s="359">
        <f>SUM(E730)</f>
        <v>0</v>
      </c>
      <c r="F729" s="561" t="e">
        <f aca="true" t="shared" si="42" ref="F729:F773">E729/D729*100</f>
        <v>#DIV/0!</v>
      </c>
      <c r="G729" s="576"/>
    </row>
    <row r="730" spans="1:7" s="275" customFormat="1" ht="18" customHeight="1" hidden="1">
      <c r="A730" s="562"/>
      <c r="B730" s="574"/>
      <c r="C730" s="575" t="s">
        <v>976</v>
      </c>
      <c r="D730" s="563">
        <f>SUM(D731)</f>
        <v>0</v>
      </c>
      <c r="E730" s="563">
        <f>SUM(E731)</f>
        <v>0</v>
      </c>
      <c r="F730" s="564" t="e">
        <f t="shared" si="42"/>
        <v>#DIV/0!</v>
      </c>
      <c r="G730" s="568"/>
    </row>
    <row r="731" spans="1:7" s="569" customFormat="1" ht="18.75" customHeight="1" hidden="1">
      <c r="A731" s="565"/>
      <c r="B731" s="577"/>
      <c r="C731" s="578" t="s">
        <v>977</v>
      </c>
      <c r="D731" s="579">
        <v>0</v>
      </c>
      <c r="E731" s="579">
        <v>0</v>
      </c>
      <c r="F731" s="580" t="e">
        <f t="shared" si="42"/>
        <v>#DIV/0!</v>
      </c>
      <c r="G731" s="568"/>
    </row>
    <row r="732" spans="1:6" ht="18.75" customHeight="1" hidden="1">
      <c r="A732" s="558"/>
      <c r="B732" s="570" t="s">
        <v>222</v>
      </c>
      <c r="C732" s="376" t="s">
        <v>223</v>
      </c>
      <c r="D732" s="364">
        <f>SUM(D733,D738)</f>
        <v>0</v>
      </c>
      <c r="E732" s="364">
        <f>SUM(E733,E738)</f>
        <v>0</v>
      </c>
      <c r="F732" s="559" t="e">
        <f t="shared" si="42"/>
        <v>#DIV/0!</v>
      </c>
    </row>
    <row r="733" spans="1:7" s="363" customFormat="1" ht="18.75" customHeight="1" hidden="1">
      <c r="A733" s="560"/>
      <c r="B733" s="572"/>
      <c r="C733" s="573" t="s">
        <v>838</v>
      </c>
      <c r="D733" s="359">
        <f>SUM(D734,D737)</f>
        <v>0</v>
      </c>
      <c r="E733" s="359">
        <f>SUM(E734,E737)</f>
        <v>0</v>
      </c>
      <c r="F733" s="561" t="e">
        <f t="shared" si="42"/>
        <v>#DIV/0!</v>
      </c>
      <c r="G733" s="576"/>
    </row>
    <row r="734" spans="1:7" s="275" customFormat="1" ht="18" customHeight="1" hidden="1">
      <c r="A734" s="562"/>
      <c r="B734" s="574"/>
      <c r="C734" s="575" t="s">
        <v>976</v>
      </c>
      <c r="D734" s="563">
        <f>SUM(D735,D736)</f>
        <v>0</v>
      </c>
      <c r="E734" s="563">
        <f>SUM(E735,E736)</f>
        <v>0</v>
      </c>
      <c r="F734" s="564" t="e">
        <f t="shared" si="42"/>
        <v>#DIV/0!</v>
      </c>
      <c r="G734" s="568"/>
    </row>
    <row r="735" spans="1:7" s="569" customFormat="1" ht="18.75" customHeight="1" hidden="1">
      <c r="A735" s="565"/>
      <c r="B735" s="577"/>
      <c r="C735" s="578" t="s">
        <v>977</v>
      </c>
      <c r="D735" s="579">
        <v>0</v>
      </c>
      <c r="E735" s="579">
        <v>0</v>
      </c>
      <c r="F735" s="580" t="e">
        <f t="shared" si="42"/>
        <v>#DIV/0!</v>
      </c>
      <c r="G735" s="568"/>
    </row>
    <row r="736" spans="1:7" s="569" customFormat="1" ht="18.75" customHeight="1" hidden="1">
      <c r="A736" s="565"/>
      <c r="B736" s="577"/>
      <c r="C736" s="578" t="s">
        <v>1096</v>
      </c>
      <c r="D736" s="579">
        <v>0</v>
      </c>
      <c r="E736" s="579">
        <v>0</v>
      </c>
      <c r="F736" s="580" t="e">
        <f>E736/D736*100</f>
        <v>#DIV/0!</v>
      </c>
      <c r="G736" s="568"/>
    </row>
    <row r="737" spans="1:7" s="275" customFormat="1" ht="28.5" customHeight="1" hidden="1">
      <c r="A737" s="562"/>
      <c r="B737" s="574"/>
      <c r="C737" s="575" t="s">
        <v>1163</v>
      </c>
      <c r="D737" s="563">
        <v>0</v>
      </c>
      <c r="E737" s="563">
        <v>0</v>
      </c>
      <c r="F737" s="564" t="e">
        <f>E737/D737*100</f>
        <v>#DIV/0!</v>
      </c>
      <c r="G737" s="584"/>
    </row>
    <row r="738" spans="1:7" s="363" customFormat="1" ht="18.75" customHeight="1" hidden="1">
      <c r="A738" s="560"/>
      <c r="B738" s="572"/>
      <c r="C738" s="573" t="s">
        <v>979</v>
      </c>
      <c r="D738" s="359">
        <f>SUM(D739,D740)</f>
        <v>0</v>
      </c>
      <c r="E738" s="359">
        <f>SUM(E739,E740)</f>
        <v>0</v>
      </c>
      <c r="F738" s="561" t="e">
        <f>E738/D738*100</f>
        <v>#DIV/0!</v>
      </c>
      <c r="G738" s="576"/>
    </row>
    <row r="739" spans="1:7" s="275" customFormat="1" ht="27" customHeight="1" hidden="1">
      <c r="A739" s="562"/>
      <c r="B739" s="574"/>
      <c r="C739" s="575" t="s">
        <v>251</v>
      </c>
      <c r="D739" s="563">
        <v>0</v>
      </c>
      <c r="E739" s="563">
        <v>0</v>
      </c>
      <c r="F739" s="564" t="e">
        <f>E739/D739*100</f>
        <v>#DIV/0!</v>
      </c>
      <c r="G739" s="584"/>
    </row>
    <row r="740" spans="1:7" s="569" customFormat="1" ht="18.75" customHeight="1" hidden="1">
      <c r="A740" s="581"/>
      <c r="B740" s="577"/>
      <c r="C740" s="582" t="s">
        <v>989</v>
      </c>
      <c r="D740" s="563">
        <v>0</v>
      </c>
      <c r="E740" s="563">
        <v>0</v>
      </c>
      <c r="F740" s="564" t="e">
        <f>E740/D740*100</f>
        <v>#DIV/0!</v>
      </c>
      <c r="G740" s="568"/>
    </row>
    <row r="741" spans="1:6" ht="18.75" customHeight="1">
      <c r="A741" s="586"/>
      <c r="B741" s="570" t="s">
        <v>224</v>
      </c>
      <c r="C741" s="585" t="s">
        <v>214</v>
      </c>
      <c r="D741" s="364">
        <f>SUM(D742,D747)</f>
        <v>443000</v>
      </c>
      <c r="E741" s="364">
        <f>SUM(E742,E747)</f>
        <v>196747.18000000002</v>
      </c>
      <c r="F741" s="559">
        <f t="shared" si="42"/>
        <v>44.412455981941314</v>
      </c>
    </row>
    <row r="742" spans="1:7" s="363" customFormat="1" ht="18.75" customHeight="1">
      <c r="A742" s="560"/>
      <c r="B742" s="572"/>
      <c r="C742" s="573" t="s">
        <v>838</v>
      </c>
      <c r="D742" s="359">
        <f>SUM(D743,D746)</f>
        <v>443000</v>
      </c>
      <c r="E742" s="359">
        <f>SUM(E743,E746)</f>
        <v>196747.18000000002</v>
      </c>
      <c r="F742" s="561">
        <f t="shared" si="42"/>
        <v>44.412455981941314</v>
      </c>
      <c r="G742" s="576"/>
    </row>
    <row r="743" spans="1:7" s="275" customFormat="1" ht="18" customHeight="1">
      <c r="A743" s="562"/>
      <c r="B743" s="574"/>
      <c r="C743" s="575" t="s">
        <v>976</v>
      </c>
      <c r="D743" s="563">
        <f>SUM(D744,D745)</f>
        <v>442050</v>
      </c>
      <c r="E743" s="563">
        <f>SUM(E744,E745)</f>
        <v>196278.73</v>
      </c>
      <c r="F743" s="564">
        <f t="shared" si="42"/>
        <v>44.401929645967655</v>
      </c>
      <c r="G743" s="568"/>
    </row>
    <row r="744" spans="1:7" s="569" customFormat="1" ht="18.75" customHeight="1">
      <c r="A744" s="565"/>
      <c r="B744" s="577"/>
      <c r="C744" s="578" t="s">
        <v>977</v>
      </c>
      <c r="D744" s="579">
        <v>42820</v>
      </c>
      <c r="E744" s="579">
        <v>22099.56</v>
      </c>
      <c r="F744" s="580">
        <f t="shared" si="42"/>
        <v>51.61036898645494</v>
      </c>
      <c r="G744" s="568"/>
    </row>
    <row r="745" spans="1:7" s="569" customFormat="1" ht="18.75" customHeight="1">
      <c r="A745" s="565"/>
      <c r="B745" s="577"/>
      <c r="C745" s="578" t="s">
        <v>1096</v>
      </c>
      <c r="D745" s="579">
        <v>399230</v>
      </c>
      <c r="E745" s="579">
        <v>174179.17</v>
      </c>
      <c r="F745" s="580">
        <f t="shared" si="42"/>
        <v>43.6287778974526</v>
      </c>
      <c r="G745" s="568"/>
    </row>
    <row r="746" spans="1:7" s="275" customFormat="1" ht="18.75" customHeight="1">
      <c r="A746" s="583"/>
      <c r="B746" s="574"/>
      <c r="C746" s="582" t="s">
        <v>982</v>
      </c>
      <c r="D746" s="563">
        <v>950</v>
      </c>
      <c r="E746" s="563">
        <v>468.45</v>
      </c>
      <c r="F746" s="564">
        <f t="shared" si="42"/>
        <v>49.310526315789474</v>
      </c>
      <c r="G746" s="568"/>
    </row>
    <row r="747" spans="1:7" s="363" customFormat="1" ht="18.75" customHeight="1" hidden="1">
      <c r="A747" s="560"/>
      <c r="B747" s="572"/>
      <c r="C747" s="573" t="s">
        <v>979</v>
      </c>
      <c r="D747" s="359">
        <f>SUM(D748)</f>
        <v>0</v>
      </c>
      <c r="E747" s="359">
        <f>SUM(E748)</f>
        <v>0</v>
      </c>
      <c r="F747" s="561" t="e">
        <f>E747/D747*100</f>
        <v>#DIV/0!</v>
      </c>
      <c r="G747" s="576"/>
    </row>
    <row r="748" spans="1:7" s="275" customFormat="1" ht="26.25" customHeight="1" hidden="1">
      <c r="A748" s="562"/>
      <c r="B748" s="574"/>
      <c r="C748" s="575" t="s">
        <v>251</v>
      </c>
      <c r="D748" s="563">
        <v>0</v>
      </c>
      <c r="E748" s="563">
        <v>0</v>
      </c>
      <c r="F748" s="564" t="e">
        <f>E748/D748*100</f>
        <v>#DIV/0!</v>
      </c>
      <c r="G748" s="568"/>
    </row>
    <row r="749" spans="1:6" ht="18.75" customHeight="1" hidden="1">
      <c r="A749" s="586"/>
      <c r="B749" s="570" t="s">
        <v>656</v>
      </c>
      <c r="C749" s="585" t="s">
        <v>176</v>
      </c>
      <c r="D749" s="364">
        <f>SUM(D750)</f>
        <v>0</v>
      </c>
      <c r="E749" s="364">
        <f>SUM(E750)</f>
        <v>0</v>
      </c>
      <c r="F749" s="559" t="e">
        <f>E749/D749*100</f>
        <v>#DIV/0!</v>
      </c>
    </row>
    <row r="750" spans="1:7" s="363" customFormat="1" ht="18.75" customHeight="1" hidden="1">
      <c r="A750" s="560"/>
      <c r="B750" s="572"/>
      <c r="C750" s="573" t="s">
        <v>979</v>
      </c>
      <c r="D750" s="359">
        <f>SUM(D751)</f>
        <v>0</v>
      </c>
      <c r="E750" s="359">
        <f>SUM(E751)</f>
        <v>0</v>
      </c>
      <c r="F750" s="561" t="e">
        <f>E750/D750*100</f>
        <v>#DIV/0!</v>
      </c>
      <c r="G750" s="576"/>
    </row>
    <row r="751" spans="1:7" s="275" customFormat="1" ht="26.25" customHeight="1" hidden="1">
      <c r="A751" s="562"/>
      <c r="B751" s="574"/>
      <c r="C751" s="575" t="s">
        <v>251</v>
      </c>
      <c r="D751" s="563">
        <v>0</v>
      </c>
      <c r="E751" s="563">
        <v>0</v>
      </c>
      <c r="F751" s="564" t="e">
        <f>E751/D751*100</f>
        <v>#DIV/0!</v>
      </c>
      <c r="G751" s="568"/>
    </row>
    <row r="752" spans="1:7" s="3" customFormat="1" ht="18.75" customHeight="1">
      <c r="A752" s="587" t="s">
        <v>644</v>
      </c>
      <c r="B752" s="554"/>
      <c r="C752" s="555" t="s">
        <v>645</v>
      </c>
      <c r="D752" s="556">
        <f>SUM(D753,D758,D763,D769)</f>
        <v>2444700</v>
      </c>
      <c r="E752" s="556">
        <f>SUM(E753,E758,E763,E769)</f>
        <v>1219324.7</v>
      </c>
      <c r="F752" s="557">
        <f t="shared" si="42"/>
        <v>49.87625066470323</v>
      </c>
      <c r="G752" s="1"/>
    </row>
    <row r="753" spans="1:6" ht="18.75" customHeight="1">
      <c r="A753" s="586"/>
      <c r="B753" s="570" t="s">
        <v>646</v>
      </c>
      <c r="C753" s="585" t="s">
        <v>652</v>
      </c>
      <c r="D753" s="364">
        <f>D754</f>
        <v>40300</v>
      </c>
      <c r="E753" s="364">
        <f>E754</f>
        <v>21700</v>
      </c>
      <c r="F753" s="559">
        <f t="shared" si="42"/>
        <v>53.84615384615385</v>
      </c>
    </row>
    <row r="754" spans="1:7" s="363" customFormat="1" ht="18.75" customHeight="1">
      <c r="A754" s="560"/>
      <c r="B754" s="572"/>
      <c r="C754" s="573" t="s">
        <v>838</v>
      </c>
      <c r="D754" s="359">
        <f>SUM(D755)</f>
        <v>40300</v>
      </c>
      <c r="E754" s="359">
        <f>SUM(E755)</f>
        <v>21700</v>
      </c>
      <c r="F754" s="561">
        <f t="shared" si="42"/>
        <v>53.84615384615385</v>
      </c>
      <c r="G754" s="576"/>
    </row>
    <row r="755" spans="1:7" s="275" customFormat="1" ht="18" customHeight="1">
      <c r="A755" s="562"/>
      <c r="B755" s="574"/>
      <c r="C755" s="575" t="s">
        <v>976</v>
      </c>
      <c r="D755" s="563">
        <f>SUM(D756,D757)</f>
        <v>40300</v>
      </c>
      <c r="E755" s="563">
        <f>SUM(E756,E757)</f>
        <v>21700</v>
      </c>
      <c r="F755" s="564">
        <f t="shared" si="42"/>
        <v>53.84615384615385</v>
      </c>
      <c r="G755" s="568"/>
    </row>
    <row r="756" spans="1:7" s="569" customFormat="1" ht="18.75" customHeight="1" hidden="1">
      <c r="A756" s="565"/>
      <c r="B756" s="577"/>
      <c r="C756" s="578" t="s">
        <v>977</v>
      </c>
      <c r="D756" s="579">
        <v>0</v>
      </c>
      <c r="E756" s="579">
        <v>0</v>
      </c>
      <c r="F756" s="580" t="e">
        <f t="shared" si="42"/>
        <v>#DIV/0!</v>
      </c>
      <c r="G756" s="568"/>
    </row>
    <row r="757" spans="1:7" s="569" customFormat="1" ht="16.5" customHeight="1">
      <c r="A757" s="565"/>
      <c r="B757" s="577"/>
      <c r="C757" s="578" t="s">
        <v>1096</v>
      </c>
      <c r="D757" s="579">
        <v>40300</v>
      </c>
      <c r="E757" s="579">
        <v>21700</v>
      </c>
      <c r="F757" s="580">
        <f t="shared" si="42"/>
        <v>53.84615384615385</v>
      </c>
      <c r="G757" s="568"/>
    </row>
    <row r="758" spans="1:6" ht="18.75" customHeight="1">
      <c r="A758" s="586"/>
      <c r="B758" s="570" t="s">
        <v>653</v>
      </c>
      <c r="C758" s="571" t="s">
        <v>0</v>
      </c>
      <c r="D758" s="364">
        <f>D759</f>
        <v>2382400</v>
      </c>
      <c r="E758" s="364">
        <f>E759</f>
        <v>1181424.64</v>
      </c>
      <c r="F758" s="559">
        <f t="shared" si="42"/>
        <v>49.58968435191403</v>
      </c>
    </row>
    <row r="759" spans="1:7" s="363" customFormat="1" ht="18.75" customHeight="1">
      <c r="A759" s="560"/>
      <c r="B759" s="572"/>
      <c r="C759" s="573" t="s">
        <v>838</v>
      </c>
      <c r="D759" s="359">
        <f>SUM(D760)</f>
        <v>2382400</v>
      </c>
      <c r="E759" s="359">
        <f>SUM(E760)</f>
        <v>1181424.64</v>
      </c>
      <c r="F759" s="561">
        <f t="shared" si="42"/>
        <v>49.58968435191403</v>
      </c>
      <c r="G759" s="576"/>
    </row>
    <row r="760" spans="1:7" s="275" customFormat="1" ht="18" customHeight="1">
      <c r="A760" s="562"/>
      <c r="B760" s="574"/>
      <c r="C760" s="575" t="s">
        <v>976</v>
      </c>
      <c r="D760" s="563">
        <f>SUM(D761,D762)</f>
        <v>2382400</v>
      </c>
      <c r="E760" s="563">
        <f>SUM(E761,E762)</f>
        <v>1181424.64</v>
      </c>
      <c r="F760" s="564">
        <f t="shared" si="42"/>
        <v>49.58968435191403</v>
      </c>
      <c r="G760" s="568"/>
    </row>
    <row r="761" spans="1:7" s="569" customFormat="1" ht="18.75" customHeight="1">
      <c r="A761" s="565"/>
      <c r="B761" s="577"/>
      <c r="C761" s="578" t="s">
        <v>977</v>
      </c>
      <c r="D761" s="579">
        <v>408400</v>
      </c>
      <c r="E761" s="579">
        <v>167655.82</v>
      </c>
      <c r="F761" s="580">
        <f t="shared" si="42"/>
        <v>41.051865817825664</v>
      </c>
      <c r="G761" s="568"/>
    </row>
    <row r="762" spans="1:7" s="569" customFormat="1" ht="18.75" customHeight="1">
      <c r="A762" s="565"/>
      <c r="B762" s="577"/>
      <c r="C762" s="578" t="s">
        <v>1096</v>
      </c>
      <c r="D762" s="579">
        <v>1974000</v>
      </c>
      <c r="E762" s="579">
        <v>1013768.82</v>
      </c>
      <c r="F762" s="580">
        <f t="shared" si="42"/>
        <v>51.35606990881458</v>
      </c>
      <c r="G762" s="568"/>
    </row>
    <row r="763" spans="1:6" ht="18.75" customHeight="1" hidden="1">
      <c r="A763" s="586"/>
      <c r="B763" s="570" t="s">
        <v>1</v>
      </c>
      <c r="C763" s="571" t="s">
        <v>315</v>
      </c>
      <c r="D763" s="364">
        <f>SUM(D764,D767)</f>
        <v>0</v>
      </c>
      <c r="E763" s="364">
        <f>SUM(E764,E767)</f>
        <v>0</v>
      </c>
      <c r="F763" s="559" t="e">
        <f aca="true" t="shared" si="43" ref="F763:F768">E763/D763*100</f>
        <v>#DIV/0!</v>
      </c>
    </row>
    <row r="764" spans="1:7" s="363" customFormat="1" ht="18.75" customHeight="1" hidden="1">
      <c r="A764" s="560"/>
      <c r="B764" s="572"/>
      <c r="C764" s="573" t="s">
        <v>838</v>
      </c>
      <c r="D764" s="359">
        <f>SUM(D765)</f>
        <v>0</v>
      </c>
      <c r="E764" s="359">
        <f>SUM(E765)</f>
        <v>0</v>
      </c>
      <c r="F764" s="561" t="e">
        <f t="shared" si="43"/>
        <v>#DIV/0!</v>
      </c>
      <c r="G764" s="576"/>
    </row>
    <row r="765" spans="1:7" s="275" customFormat="1" ht="18" customHeight="1" hidden="1">
      <c r="A765" s="562"/>
      <c r="B765" s="574"/>
      <c r="C765" s="575" t="s">
        <v>976</v>
      </c>
      <c r="D765" s="563">
        <f>SUM(D766)</f>
        <v>0</v>
      </c>
      <c r="E765" s="563">
        <f>SUM(E766)</f>
        <v>0</v>
      </c>
      <c r="F765" s="564" t="e">
        <f t="shared" si="43"/>
        <v>#DIV/0!</v>
      </c>
      <c r="G765" s="568"/>
    </row>
    <row r="766" spans="1:7" s="569" customFormat="1" ht="18.75" customHeight="1" hidden="1">
      <c r="A766" s="565"/>
      <c r="B766" s="577"/>
      <c r="C766" s="578" t="s">
        <v>977</v>
      </c>
      <c r="D766" s="579">
        <v>0</v>
      </c>
      <c r="E766" s="579">
        <v>0</v>
      </c>
      <c r="F766" s="580" t="e">
        <f t="shared" si="43"/>
        <v>#DIV/0!</v>
      </c>
      <c r="G766" s="568"/>
    </row>
    <row r="767" spans="1:7" s="363" customFormat="1" ht="18.75" customHeight="1" hidden="1">
      <c r="A767" s="560"/>
      <c r="B767" s="572"/>
      <c r="C767" s="573" t="s">
        <v>979</v>
      </c>
      <c r="D767" s="359">
        <f>SUM(D768)</f>
        <v>0</v>
      </c>
      <c r="E767" s="359">
        <f>SUM(E768)</f>
        <v>0</v>
      </c>
      <c r="F767" s="561" t="e">
        <f t="shared" si="43"/>
        <v>#DIV/0!</v>
      </c>
      <c r="G767" s="576"/>
    </row>
    <row r="768" spans="1:7" s="275" customFormat="1" ht="27" customHeight="1" hidden="1">
      <c r="A768" s="562"/>
      <c r="B768" s="574"/>
      <c r="C768" s="575" t="s">
        <v>251</v>
      </c>
      <c r="D768" s="563">
        <v>0</v>
      </c>
      <c r="E768" s="563">
        <v>0</v>
      </c>
      <c r="F768" s="564" t="e">
        <f t="shared" si="43"/>
        <v>#DIV/0!</v>
      </c>
      <c r="G768" s="584"/>
    </row>
    <row r="769" spans="1:6" ht="18.75" customHeight="1">
      <c r="A769" s="586"/>
      <c r="B769" s="570" t="s">
        <v>2</v>
      </c>
      <c r="C769" s="585" t="s">
        <v>1135</v>
      </c>
      <c r="D769" s="364">
        <f>D770</f>
        <v>22000</v>
      </c>
      <c r="E769" s="364">
        <f>E770</f>
        <v>16200.06</v>
      </c>
      <c r="F769" s="559">
        <f t="shared" si="42"/>
        <v>73.63663636363637</v>
      </c>
    </row>
    <row r="770" spans="1:7" s="363" customFormat="1" ht="18.75" customHeight="1">
      <c r="A770" s="560"/>
      <c r="B770" s="572"/>
      <c r="C770" s="573" t="s">
        <v>838</v>
      </c>
      <c r="D770" s="359">
        <f>SUM(D771)</f>
        <v>22000</v>
      </c>
      <c r="E770" s="359">
        <f>SUM(E771)</f>
        <v>16200.06</v>
      </c>
      <c r="F770" s="561">
        <f t="shared" si="42"/>
        <v>73.63663636363637</v>
      </c>
      <c r="G770" s="576"/>
    </row>
    <row r="771" spans="1:7" s="275" customFormat="1" ht="18" customHeight="1">
      <c r="A771" s="562"/>
      <c r="B771" s="574"/>
      <c r="C771" s="575" t="s">
        <v>976</v>
      </c>
      <c r="D771" s="563">
        <f>SUM(D772,D773)</f>
        <v>22000</v>
      </c>
      <c r="E771" s="563">
        <f>SUM(E772,E773)</f>
        <v>16200.06</v>
      </c>
      <c r="F771" s="564">
        <f t="shared" si="42"/>
        <v>73.63663636363637</v>
      </c>
      <c r="G771" s="568"/>
    </row>
    <row r="772" spans="1:7" s="569" customFormat="1" ht="18.75" customHeight="1">
      <c r="A772" s="565"/>
      <c r="B772" s="577"/>
      <c r="C772" s="578" t="s">
        <v>977</v>
      </c>
      <c r="D772" s="579">
        <v>12820</v>
      </c>
      <c r="E772" s="579">
        <v>7102.41</v>
      </c>
      <c r="F772" s="580">
        <f t="shared" si="42"/>
        <v>55.40101404056163</v>
      </c>
      <c r="G772" s="568"/>
    </row>
    <row r="773" spans="1:7" s="569" customFormat="1" ht="18.75" customHeight="1">
      <c r="A773" s="565"/>
      <c r="B773" s="577"/>
      <c r="C773" s="578" t="s">
        <v>1096</v>
      </c>
      <c r="D773" s="579">
        <v>9180</v>
      </c>
      <c r="E773" s="579">
        <v>9097.65</v>
      </c>
      <c r="F773" s="580">
        <f t="shared" si="42"/>
        <v>99.10294117647058</v>
      </c>
      <c r="G773" s="568"/>
    </row>
    <row r="774" spans="1:8" s="590" customFormat="1" ht="27.75" customHeight="1">
      <c r="A774" s="588" t="s">
        <v>5</v>
      </c>
      <c r="B774" s="554"/>
      <c r="C774" s="589" t="s">
        <v>941</v>
      </c>
      <c r="D774" s="556">
        <f>SUM(D775,D780,D783,D792,D797)</f>
        <v>6267227</v>
      </c>
      <c r="E774" s="556">
        <f>SUM(E775,E780,E783,E792,E797)</f>
        <v>3308170.69</v>
      </c>
      <c r="F774" s="557">
        <f aca="true" t="shared" si="44" ref="F774:F784">E774/D774*100</f>
        <v>52.78523803270569</v>
      </c>
      <c r="G774" s="568"/>
      <c r="H774" s="275"/>
    </row>
    <row r="775" spans="1:8" s="590" customFormat="1" ht="18.75" customHeight="1">
      <c r="A775" s="586"/>
      <c r="B775" s="570" t="s">
        <v>1108</v>
      </c>
      <c r="C775" s="571" t="s">
        <v>1109</v>
      </c>
      <c r="D775" s="364">
        <f>SUM(D776,D779)</f>
        <v>457000</v>
      </c>
      <c r="E775" s="364">
        <f>SUM(E776,E779)</f>
        <v>305000</v>
      </c>
      <c r="F775" s="559">
        <f t="shared" si="44"/>
        <v>66.73960612691467</v>
      </c>
      <c r="G775" s="568"/>
      <c r="H775" s="275"/>
    </row>
    <row r="776" spans="1:7" s="363" customFormat="1" ht="18.75" customHeight="1">
      <c r="A776" s="560"/>
      <c r="B776" s="572"/>
      <c r="C776" s="573" t="s">
        <v>838</v>
      </c>
      <c r="D776" s="359">
        <f>SUM(D777)</f>
        <v>157000</v>
      </c>
      <c r="E776" s="359">
        <f>SUM(E777)</f>
        <v>125000</v>
      </c>
      <c r="F776" s="561">
        <f t="shared" si="44"/>
        <v>79.61783439490446</v>
      </c>
      <c r="G776" s="576"/>
    </row>
    <row r="777" spans="1:7" s="275" customFormat="1" ht="29.25" customHeight="1">
      <c r="A777" s="583"/>
      <c r="B777" s="574"/>
      <c r="C777" s="575" t="s">
        <v>1164</v>
      </c>
      <c r="D777" s="563">
        <v>157000</v>
      </c>
      <c r="E777" s="563">
        <v>125000</v>
      </c>
      <c r="F777" s="564">
        <f>E777/D777*100</f>
        <v>79.61783439490446</v>
      </c>
      <c r="G777" s="584"/>
    </row>
    <row r="778" spans="1:7" s="363" customFormat="1" ht="18.75" customHeight="1">
      <c r="A778" s="560"/>
      <c r="B778" s="572"/>
      <c r="C778" s="573" t="s">
        <v>979</v>
      </c>
      <c r="D778" s="359">
        <f>SUM(D779)</f>
        <v>300000</v>
      </c>
      <c r="E778" s="359">
        <f>SUM(E779)</f>
        <v>180000</v>
      </c>
      <c r="F778" s="561">
        <f>E778/D778*100</f>
        <v>60</v>
      </c>
      <c r="G778" s="576"/>
    </row>
    <row r="779" spans="1:7" s="275" customFormat="1" ht="25.5" customHeight="1">
      <c r="A779" s="562"/>
      <c r="B779" s="574"/>
      <c r="C779" s="575" t="s">
        <v>251</v>
      </c>
      <c r="D779" s="563">
        <v>300000</v>
      </c>
      <c r="E779" s="563">
        <v>180000</v>
      </c>
      <c r="F779" s="564">
        <f>E779/D779*100</f>
        <v>60</v>
      </c>
      <c r="G779" s="584"/>
    </row>
    <row r="780" spans="1:8" s="592" customFormat="1" ht="18.75" customHeight="1">
      <c r="A780" s="586"/>
      <c r="B780" s="570" t="s">
        <v>1067</v>
      </c>
      <c r="C780" s="376" t="s">
        <v>1068</v>
      </c>
      <c r="D780" s="364">
        <f>SUM(D781)</f>
        <v>10000</v>
      </c>
      <c r="E780" s="364">
        <f>SUM(E781)</f>
        <v>10000</v>
      </c>
      <c r="F780" s="559">
        <f t="shared" si="44"/>
        <v>100</v>
      </c>
      <c r="G780" s="1"/>
      <c r="H780" s="591"/>
    </row>
    <row r="781" spans="1:7" s="363" customFormat="1" ht="18.75" customHeight="1">
      <c r="A781" s="560"/>
      <c r="B781" s="572"/>
      <c r="C781" s="573" t="s">
        <v>838</v>
      </c>
      <c r="D781" s="359">
        <f>SUM(D782)</f>
        <v>10000</v>
      </c>
      <c r="E781" s="359">
        <f>SUM(E782)</f>
        <v>10000</v>
      </c>
      <c r="F781" s="561">
        <f>E781/D781*100</f>
        <v>100</v>
      </c>
      <c r="G781" s="576"/>
    </row>
    <row r="782" spans="1:7" s="275" customFormat="1" ht="27.75" customHeight="1">
      <c r="A782" s="583"/>
      <c r="B782" s="574"/>
      <c r="C782" s="575" t="s">
        <v>1164</v>
      </c>
      <c r="D782" s="563">
        <v>10000</v>
      </c>
      <c r="E782" s="563">
        <v>10000</v>
      </c>
      <c r="F782" s="564">
        <f>E782/D782*100</f>
        <v>100</v>
      </c>
      <c r="G782" s="584"/>
    </row>
    <row r="783" spans="1:8" s="590" customFormat="1" ht="18.75" customHeight="1">
      <c r="A783" s="586"/>
      <c r="B783" s="570" t="s">
        <v>6</v>
      </c>
      <c r="C783" s="376" t="s">
        <v>317</v>
      </c>
      <c r="D783" s="364">
        <f>SUM(D784,D791)</f>
        <v>5625211</v>
      </c>
      <c r="E783" s="364">
        <f>SUM(E784,E791)</f>
        <v>2956803.83</v>
      </c>
      <c r="F783" s="559">
        <f t="shared" si="44"/>
        <v>52.56342970957001</v>
      </c>
      <c r="G783" s="568"/>
      <c r="H783" s="275"/>
    </row>
    <row r="784" spans="1:7" s="363" customFormat="1" ht="18.75" customHeight="1">
      <c r="A784" s="560"/>
      <c r="B784" s="572"/>
      <c r="C784" s="573" t="s">
        <v>838</v>
      </c>
      <c r="D784" s="359">
        <f>SUM(D785,D788,D789)</f>
        <v>5625211</v>
      </c>
      <c r="E784" s="359">
        <f>SUM(E785,E788,E789)</f>
        <v>2956803.83</v>
      </c>
      <c r="F784" s="561">
        <f t="shared" si="44"/>
        <v>52.56342970957001</v>
      </c>
      <c r="G784" s="576"/>
    </row>
    <row r="785" spans="1:7" s="275" customFormat="1" ht="18" customHeight="1">
      <c r="A785" s="562"/>
      <c r="B785" s="574"/>
      <c r="C785" s="575" t="s">
        <v>976</v>
      </c>
      <c r="D785" s="563">
        <f>SUM(D786,D787)</f>
        <v>5380211</v>
      </c>
      <c r="E785" s="563">
        <f>SUM(E786,E787)</f>
        <v>2843745.7</v>
      </c>
      <c r="F785" s="564">
        <f aca="true" t="shared" si="45" ref="F785:F855">E785/D785*100</f>
        <v>52.85565380242523</v>
      </c>
      <c r="G785" s="568"/>
    </row>
    <row r="786" spans="1:7" s="569" customFormat="1" ht="18.75" customHeight="1">
      <c r="A786" s="565"/>
      <c r="B786" s="577"/>
      <c r="C786" s="578" t="s">
        <v>1096</v>
      </c>
      <c r="D786" s="579">
        <v>4922702</v>
      </c>
      <c r="E786" s="579">
        <v>2478946.48</v>
      </c>
      <c r="F786" s="580">
        <f t="shared" si="45"/>
        <v>50.357435408440324</v>
      </c>
      <c r="G786" s="568"/>
    </row>
    <row r="787" spans="1:7" s="569" customFormat="1" ht="18.75" customHeight="1">
      <c r="A787" s="565"/>
      <c r="B787" s="577"/>
      <c r="C787" s="578" t="s">
        <v>977</v>
      </c>
      <c r="D787" s="579">
        <v>457509</v>
      </c>
      <c r="E787" s="579">
        <v>364799.22</v>
      </c>
      <c r="F787" s="580">
        <f t="shared" si="45"/>
        <v>79.73596584985214</v>
      </c>
      <c r="G787" s="568"/>
    </row>
    <row r="788" spans="1:7" s="275" customFormat="1" ht="18.75" customHeight="1">
      <c r="A788" s="583"/>
      <c r="B788" s="574"/>
      <c r="C788" s="582" t="s">
        <v>982</v>
      </c>
      <c r="D788" s="563">
        <v>245000</v>
      </c>
      <c r="E788" s="563">
        <v>113058.13</v>
      </c>
      <c r="F788" s="564">
        <f t="shared" si="45"/>
        <v>46.14617551020409</v>
      </c>
      <c r="G788" s="568"/>
    </row>
    <row r="789" spans="1:7" s="275" customFormat="1" ht="18.75" customHeight="1" hidden="1">
      <c r="A789" s="583"/>
      <c r="B789" s="574"/>
      <c r="C789" s="502" t="s">
        <v>978</v>
      </c>
      <c r="D789" s="503">
        <v>0</v>
      </c>
      <c r="E789" s="503">
        <v>0</v>
      </c>
      <c r="F789" s="504" t="e">
        <f t="shared" si="45"/>
        <v>#DIV/0!</v>
      </c>
      <c r="G789" s="568"/>
    </row>
    <row r="790" spans="1:7" s="363" customFormat="1" ht="18.75" customHeight="1" hidden="1">
      <c r="A790" s="560"/>
      <c r="B790" s="572"/>
      <c r="C790" s="573" t="s">
        <v>979</v>
      </c>
      <c r="D790" s="359">
        <f>SUM(D791)</f>
        <v>0</v>
      </c>
      <c r="E790" s="359">
        <f>SUM(E791)</f>
        <v>0</v>
      </c>
      <c r="F790" s="561" t="e">
        <f t="shared" si="45"/>
        <v>#DIV/0!</v>
      </c>
      <c r="G790" s="576"/>
    </row>
    <row r="791" spans="1:7" s="275" customFormat="1" ht="25.5" customHeight="1" hidden="1">
      <c r="A791" s="562"/>
      <c r="B791" s="574"/>
      <c r="C791" s="575" t="s">
        <v>251</v>
      </c>
      <c r="D791" s="563">
        <v>0</v>
      </c>
      <c r="E791" s="563">
        <v>0</v>
      </c>
      <c r="F791" s="564" t="e">
        <f t="shared" si="45"/>
        <v>#DIV/0!</v>
      </c>
      <c r="G791" s="584"/>
    </row>
    <row r="792" spans="1:8" s="590" customFormat="1" ht="18.75" customHeight="1" hidden="1">
      <c r="A792" s="586"/>
      <c r="B792" s="570" t="s">
        <v>1114</v>
      </c>
      <c r="C792" s="376" t="s">
        <v>1115</v>
      </c>
      <c r="D792" s="364">
        <f>SUM(D793)</f>
        <v>0</v>
      </c>
      <c r="E792" s="364">
        <f>SUM(E793)</f>
        <v>0</v>
      </c>
      <c r="F792" s="559" t="e">
        <f t="shared" si="45"/>
        <v>#DIV/0!</v>
      </c>
      <c r="G792" s="568"/>
      <c r="H792" s="275"/>
    </row>
    <row r="793" spans="1:7" s="363" customFormat="1" ht="18.75" customHeight="1" hidden="1">
      <c r="A793" s="560"/>
      <c r="B793" s="572"/>
      <c r="C793" s="573" t="s">
        <v>838</v>
      </c>
      <c r="D793" s="359">
        <f>SUM(D794)</f>
        <v>0</v>
      </c>
      <c r="E793" s="359">
        <f>SUM(E794)</f>
        <v>0</v>
      </c>
      <c r="F793" s="561" t="e">
        <f t="shared" si="45"/>
        <v>#DIV/0!</v>
      </c>
      <c r="G793" s="576"/>
    </row>
    <row r="794" spans="1:7" s="275" customFormat="1" ht="18" customHeight="1" hidden="1">
      <c r="A794" s="562"/>
      <c r="B794" s="574"/>
      <c r="C794" s="575" t="s">
        <v>976</v>
      </c>
      <c r="D794" s="563">
        <f>SUM(D795,D796)</f>
        <v>0</v>
      </c>
      <c r="E794" s="563">
        <f>SUM(E795,E796)</f>
        <v>0</v>
      </c>
      <c r="F794" s="564" t="e">
        <f aca="true" t="shared" si="46" ref="F794:F813">E794/D794*100</f>
        <v>#DIV/0!</v>
      </c>
      <c r="G794" s="568"/>
    </row>
    <row r="795" spans="1:7" s="569" customFormat="1" ht="18.75" customHeight="1" hidden="1">
      <c r="A795" s="565"/>
      <c r="B795" s="577"/>
      <c r="C795" s="578" t="s">
        <v>977</v>
      </c>
      <c r="D795" s="579">
        <v>0</v>
      </c>
      <c r="E795" s="579">
        <v>0</v>
      </c>
      <c r="F795" s="580" t="e">
        <f t="shared" si="46"/>
        <v>#DIV/0!</v>
      </c>
      <c r="G795" s="568"/>
    </row>
    <row r="796" spans="1:7" s="569" customFormat="1" ht="18.75" customHeight="1" hidden="1">
      <c r="A796" s="565"/>
      <c r="B796" s="577"/>
      <c r="C796" s="578" t="s">
        <v>1096</v>
      </c>
      <c r="D796" s="579">
        <v>0</v>
      </c>
      <c r="E796" s="579">
        <v>0</v>
      </c>
      <c r="F796" s="580" t="e">
        <f t="shared" si="46"/>
        <v>#DIV/0!</v>
      </c>
      <c r="G796" s="568"/>
    </row>
    <row r="797" spans="1:7" s="569" customFormat="1" ht="18.75" customHeight="1">
      <c r="A797" s="581"/>
      <c r="B797" s="570" t="s">
        <v>1112</v>
      </c>
      <c r="C797" s="376" t="s">
        <v>176</v>
      </c>
      <c r="D797" s="364">
        <f>SUM(D798,D802)</f>
        <v>175016</v>
      </c>
      <c r="E797" s="364">
        <f>SUM(E798,E802)</f>
        <v>36366.86</v>
      </c>
      <c r="F797" s="559">
        <f t="shared" si="46"/>
        <v>20.779163047949904</v>
      </c>
      <c r="G797" s="568"/>
    </row>
    <row r="798" spans="1:7" s="569" customFormat="1" ht="18.75" customHeight="1">
      <c r="A798" s="581"/>
      <c r="B798" s="572"/>
      <c r="C798" s="573" t="s">
        <v>838</v>
      </c>
      <c r="D798" s="359">
        <f>SUM(D799,D801)</f>
        <v>72676</v>
      </c>
      <c r="E798" s="359">
        <f>SUM(E799,E801)</f>
        <v>15.41</v>
      </c>
      <c r="F798" s="561">
        <f t="shared" si="46"/>
        <v>0.021203698607518303</v>
      </c>
      <c r="G798" s="568"/>
    </row>
    <row r="799" spans="1:7" s="569" customFormat="1" ht="18.75" customHeight="1">
      <c r="A799" s="581"/>
      <c r="B799" s="574"/>
      <c r="C799" s="575" t="s">
        <v>976</v>
      </c>
      <c r="D799" s="563">
        <f>SUM(D800)</f>
        <v>72660</v>
      </c>
      <c r="E799" s="563">
        <f>SUM(E800)</f>
        <v>0</v>
      </c>
      <c r="F799" s="564">
        <f t="shared" si="46"/>
        <v>0</v>
      </c>
      <c r="G799" s="568"/>
    </row>
    <row r="800" spans="1:7" s="569" customFormat="1" ht="18.75" customHeight="1">
      <c r="A800" s="581"/>
      <c r="B800" s="577"/>
      <c r="C800" s="578" t="s">
        <v>977</v>
      </c>
      <c r="D800" s="579">
        <v>72660</v>
      </c>
      <c r="E800" s="579">
        <v>0</v>
      </c>
      <c r="F800" s="580">
        <f t="shared" si="46"/>
        <v>0</v>
      </c>
      <c r="G800" s="568"/>
    </row>
    <row r="801" spans="1:7" s="275" customFormat="1" ht="21.75" customHeight="1">
      <c r="A801" s="583"/>
      <c r="B801" s="574"/>
      <c r="C801" s="575" t="s">
        <v>978</v>
      </c>
      <c r="D801" s="563">
        <v>16</v>
      </c>
      <c r="E801" s="563">
        <v>15.41</v>
      </c>
      <c r="F801" s="564">
        <f>E801/D801*100</f>
        <v>96.3125</v>
      </c>
      <c r="G801" s="584"/>
    </row>
    <row r="802" spans="1:7" s="363" customFormat="1" ht="18.75" customHeight="1">
      <c r="A802" s="560"/>
      <c r="B802" s="572"/>
      <c r="C802" s="573" t="s">
        <v>979</v>
      </c>
      <c r="D802" s="359">
        <f>SUM(D803)</f>
        <v>102340</v>
      </c>
      <c r="E802" s="359">
        <f>SUM(E803)</f>
        <v>36351.45</v>
      </c>
      <c r="F802" s="561">
        <f>E802/D802*100</f>
        <v>35.520275552081294</v>
      </c>
      <c r="G802" s="576"/>
    </row>
    <row r="803" spans="1:7" s="275" customFormat="1" ht="19.5" customHeight="1">
      <c r="A803" s="562"/>
      <c r="B803" s="574"/>
      <c r="C803" s="575" t="s">
        <v>251</v>
      </c>
      <c r="D803" s="563">
        <v>102340</v>
      </c>
      <c r="E803" s="563">
        <v>36351.45</v>
      </c>
      <c r="F803" s="564">
        <f>E803/D803*100</f>
        <v>35.520275552081294</v>
      </c>
      <c r="G803" s="584"/>
    </row>
    <row r="804" spans="1:7" s="569" customFormat="1" ht="18.75" customHeight="1">
      <c r="A804" s="536" t="s">
        <v>1320</v>
      </c>
      <c r="B804" s="481"/>
      <c r="C804" s="533" t="s">
        <v>1331</v>
      </c>
      <c r="D804" s="483">
        <f aca="true" t="shared" si="47" ref="D804:E807">SUM(D805)</f>
        <v>125208</v>
      </c>
      <c r="E804" s="483">
        <f t="shared" si="47"/>
        <v>57039.45</v>
      </c>
      <c r="F804" s="484">
        <f>E804/D804*100</f>
        <v>45.55575522330842</v>
      </c>
      <c r="G804" s="568"/>
    </row>
    <row r="805" spans="1:8" s="590" customFormat="1" ht="28.5" customHeight="1">
      <c r="A805" s="586"/>
      <c r="B805" s="570" t="s">
        <v>1321</v>
      </c>
      <c r="C805" s="376" t="s">
        <v>1371</v>
      </c>
      <c r="D805" s="364">
        <f t="shared" si="47"/>
        <v>125208</v>
      </c>
      <c r="E805" s="364">
        <f t="shared" si="47"/>
        <v>57039.45</v>
      </c>
      <c r="F805" s="559">
        <f t="shared" si="46"/>
        <v>45.55575522330842</v>
      </c>
      <c r="G805" s="568"/>
      <c r="H805" s="275"/>
    </row>
    <row r="806" spans="1:7" s="363" customFormat="1" ht="18.75" customHeight="1">
      <c r="A806" s="560"/>
      <c r="B806" s="572"/>
      <c r="C806" s="573" t="s">
        <v>838</v>
      </c>
      <c r="D806" s="359">
        <f>SUM(D807,D809)</f>
        <v>125208</v>
      </c>
      <c r="E806" s="359">
        <f>SUM(E807,E809)</f>
        <v>57039.45</v>
      </c>
      <c r="F806" s="561">
        <f t="shared" si="46"/>
        <v>45.55575522330842</v>
      </c>
      <c r="G806" s="576"/>
    </row>
    <row r="807" spans="1:7" s="275" customFormat="1" ht="18" customHeight="1">
      <c r="A807" s="562"/>
      <c r="B807" s="574"/>
      <c r="C807" s="575" t="s">
        <v>976</v>
      </c>
      <c r="D807" s="563">
        <f t="shared" si="47"/>
        <v>64482</v>
      </c>
      <c r="E807" s="563">
        <f t="shared" si="47"/>
        <v>26676.51</v>
      </c>
      <c r="F807" s="564">
        <f t="shared" si="46"/>
        <v>41.37047548152973</v>
      </c>
      <c r="G807" s="568"/>
    </row>
    <row r="808" spans="1:7" s="569" customFormat="1" ht="18.75" customHeight="1">
      <c r="A808" s="565"/>
      <c r="B808" s="577"/>
      <c r="C808" s="578" t="s">
        <v>977</v>
      </c>
      <c r="D808" s="579">
        <v>64482</v>
      </c>
      <c r="E808" s="579">
        <v>26676.51</v>
      </c>
      <c r="F808" s="580">
        <f t="shared" si="46"/>
        <v>41.37047548152973</v>
      </c>
      <c r="G808" s="568"/>
    </row>
    <row r="809" spans="1:7" s="275" customFormat="1" ht="21.75" customHeight="1">
      <c r="A809" s="583"/>
      <c r="B809" s="574"/>
      <c r="C809" s="575" t="s">
        <v>978</v>
      </c>
      <c r="D809" s="563">
        <v>60726</v>
      </c>
      <c r="E809" s="563">
        <v>30362.94</v>
      </c>
      <c r="F809" s="564">
        <f>E809/D809*100</f>
        <v>49.999901195534036</v>
      </c>
      <c r="G809" s="584"/>
    </row>
    <row r="810" spans="1:7" s="569" customFormat="1" ht="18.75" customHeight="1">
      <c r="A810" s="536" t="s">
        <v>9</v>
      </c>
      <c r="B810" s="481"/>
      <c r="C810" s="533" t="s">
        <v>1126</v>
      </c>
      <c r="D810" s="483">
        <f>D811</f>
        <v>225000</v>
      </c>
      <c r="E810" s="483">
        <f>E811</f>
        <v>25000</v>
      </c>
      <c r="F810" s="484">
        <f t="shared" si="46"/>
        <v>11.11111111111111</v>
      </c>
      <c r="G810" s="568"/>
    </row>
    <row r="811" spans="1:7" s="569" customFormat="1" ht="38.25" customHeight="1">
      <c r="A811" s="535"/>
      <c r="B811" s="488" t="s">
        <v>932</v>
      </c>
      <c r="C811" s="489" t="s">
        <v>933</v>
      </c>
      <c r="D811" s="490">
        <f>D812</f>
        <v>225000</v>
      </c>
      <c r="E811" s="490">
        <f>E812</f>
        <v>25000</v>
      </c>
      <c r="F811" s="491">
        <f t="shared" si="46"/>
        <v>11.11111111111111</v>
      </c>
      <c r="G811" s="568"/>
    </row>
    <row r="812" spans="1:7" s="569" customFormat="1" ht="18.75" customHeight="1">
      <c r="A812" s="494"/>
      <c r="B812" s="488"/>
      <c r="C812" s="496" t="s">
        <v>838</v>
      </c>
      <c r="D812" s="360">
        <f>SUM(D813)</f>
        <v>225000</v>
      </c>
      <c r="E812" s="360">
        <f>SUM(E813)</f>
        <v>25000</v>
      </c>
      <c r="F812" s="497">
        <f t="shared" si="46"/>
        <v>11.11111111111111</v>
      </c>
      <c r="G812" s="568"/>
    </row>
    <row r="813" spans="1:7" s="569" customFormat="1" ht="18.75" customHeight="1">
      <c r="A813" s="500"/>
      <c r="B813" s="508"/>
      <c r="C813" s="502" t="s">
        <v>934</v>
      </c>
      <c r="D813" s="503">
        <v>225000</v>
      </c>
      <c r="E813" s="503">
        <v>25000</v>
      </c>
      <c r="F813" s="504">
        <f t="shared" si="46"/>
        <v>11.11111111111111</v>
      </c>
      <c r="G813" s="568"/>
    </row>
    <row r="814" spans="1:7" s="2" customFormat="1" ht="18.75" customHeight="1">
      <c r="A814" s="587" t="s">
        <v>12</v>
      </c>
      <c r="B814" s="554"/>
      <c r="C814" s="555" t="s">
        <v>13</v>
      </c>
      <c r="D814" s="556">
        <f>SUM(D815,D820,D825,D835,D845,D850,D858,D862,D867)</f>
        <v>14312758</v>
      </c>
      <c r="E814" s="556">
        <f>SUM(E815,E820,E825,E835,E845,E850,E858,E862,E867)</f>
        <v>7338449</v>
      </c>
      <c r="F814" s="557">
        <f t="shared" si="45"/>
        <v>51.27208187269009</v>
      </c>
      <c r="G814" s="1"/>
    </row>
    <row r="815" spans="1:8" s="590" customFormat="1" ht="18.75" customHeight="1">
      <c r="A815" s="586"/>
      <c r="B815" s="570" t="s">
        <v>1133</v>
      </c>
      <c r="C815" s="571" t="s">
        <v>1134</v>
      </c>
      <c r="D815" s="364">
        <f>SUM(D816)</f>
        <v>928445</v>
      </c>
      <c r="E815" s="364">
        <f>E816</f>
        <v>577636.48</v>
      </c>
      <c r="F815" s="559">
        <f t="shared" si="45"/>
        <v>62.21547641486571</v>
      </c>
      <c r="G815" s="568"/>
      <c r="H815" s="275"/>
    </row>
    <row r="816" spans="1:7" s="363" customFormat="1" ht="18.75" customHeight="1">
      <c r="A816" s="560"/>
      <c r="B816" s="572"/>
      <c r="C816" s="573" t="s">
        <v>838</v>
      </c>
      <c r="D816" s="359">
        <f>SUM(D817)</f>
        <v>928445</v>
      </c>
      <c r="E816" s="359">
        <f>SUM(E817)</f>
        <v>577636.48</v>
      </c>
      <c r="F816" s="561">
        <f t="shared" si="45"/>
        <v>62.21547641486571</v>
      </c>
      <c r="G816" s="576"/>
    </row>
    <row r="817" spans="1:7" s="275" customFormat="1" ht="18" customHeight="1">
      <c r="A817" s="562"/>
      <c r="B817" s="574"/>
      <c r="C817" s="575" t="s">
        <v>976</v>
      </c>
      <c r="D817" s="563">
        <f>SUM(D818,D819)</f>
        <v>928445</v>
      </c>
      <c r="E817" s="563">
        <f>SUM(E818,E819)</f>
        <v>577636.48</v>
      </c>
      <c r="F817" s="564">
        <f t="shared" si="45"/>
        <v>62.21547641486571</v>
      </c>
      <c r="G817" s="568"/>
    </row>
    <row r="818" spans="1:7" s="569" customFormat="1" ht="18.75" customHeight="1">
      <c r="A818" s="565"/>
      <c r="B818" s="577"/>
      <c r="C818" s="578" t="s">
        <v>1096</v>
      </c>
      <c r="D818" s="579">
        <v>786349</v>
      </c>
      <c r="E818" s="579">
        <v>492013.26</v>
      </c>
      <c r="F818" s="580">
        <f t="shared" si="45"/>
        <v>62.569324816334735</v>
      </c>
      <c r="G818" s="568"/>
    </row>
    <row r="819" spans="1:7" s="569" customFormat="1" ht="18.75" customHeight="1">
      <c r="A819" s="565"/>
      <c r="B819" s="577"/>
      <c r="C819" s="578" t="s">
        <v>977</v>
      </c>
      <c r="D819" s="579">
        <v>142096</v>
      </c>
      <c r="E819" s="579">
        <v>85623.22</v>
      </c>
      <c r="F819" s="580">
        <f t="shared" si="45"/>
        <v>60.25730492061705</v>
      </c>
      <c r="G819" s="568"/>
    </row>
    <row r="820" spans="1:8" s="590" customFormat="1" ht="18.75" customHeight="1">
      <c r="A820" s="586"/>
      <c r="B820" s="570" t="s">
        <v>1140</v>
      </c>
      <c r="C820" s="571" t="s">
        <v>1141</v>
      </c>
      <c r="D820" s="364">
        <f>D821</f>
        <v>668185</v>
      </c>
      <c r="E820" s="364">
        <f>E821</f>
        <v>317359.74</v>
      </c>
      <c r="F820" s="559">
        <f t="shared" si="45"/>
        <v>47.49578933977865</v>
      </c>
      <c r="G820" s="568"/>
      <c r="H820" s="275"/>
    </row>
    <row r="821" spans="1:7" s="363" customFormat="1" ht="18.75" customHeight="1">
      <c r="A821" s="560"/>
      <c r="B821" s="572"/>
      <c r="C821" s="573" t="s">
        <v>838</v>
      </c>
      <c r="D821" s="359">
        <f>SUM(D822)</f>
        <v>668185</v>
      </c>
      <c r="E821" s="359">
        <f>SUM(E822)</f>
        <v>317359.74</v>
      </c>
      <c r="F821" s="561">
        <f t="shared" si="45"/>
        <v>47.49578933977865</v>
      </c>
      <c r="G821" s="576"/>
    </row>
    <row r="822" spans="1:7" s="275" customFormat="1" ht="18" customHeight="1">
      <c r="A822" s="562"/>
      <c r="B822" s="574"/>
      <c r="C822" s="575" t="s">
        <v>976</v>
      </c>
      <c r="D822" s="563">
        <f>SUM(D823,D824)</f>
        <v>668185</v>
      </c>
      <c r="E822" s="563">
        <f>SUM(E823,E824)</f>
        <v>317359.74</v>
      </c>
      <c r="F822" s="564">
        <f t="shared" si="45"/>
        <v>47.49578933977865</v>
      </c>
      <c r="G822" s="568"/>
    </row>
    <row r="823" spans="1:7" s="569" customFormat="1" ht="18.75" customHeight="1">
      <c r="A823" s="565"/>
      <c r="B823" s="577"/>
      <c r="C823" s="578" t="s">
        <v>1096</v>
      </c>
      <c r="D823" s="579">
        <v>604594</v>
      </c>
      <c r="E823" s="579">
        <v>275590.63</v>
      </c>
      <c r="F823" s="580">
        <f t="shared" si="45"/>
        <v>45.58275967012574</v>
      </c>
      <c r="G823" s="568"/>
    </row>
    <row r="824" spans="1:7" s="569" customFormat="1" ht="18.75" customHeight="1">
      <c r="A824" s="565"/>
      <c r="B824" s="577"/>
      <c r="C824" s="578" t="s">
        <v>977</v>
      </c>
      <c r="D824" s="579">
        <v>63591</v>
      </c>
      <c r="E824" s="579">
        <v>41769.11</v>
      </c>
      <c r="F824" s="580">
        <f t="shared" si="45"/>
        <v>65.68399616297904</v>
      </c>
      <c r="G824" s="568"/>
    </row>
    <row r="825" spans="1:8" s="590" customFormat="1" ht="18.75" customHeight="1">
      <c r="A825" s="586"/>
      <c r="B825" s="570" t="s">
        <v>18</v>
      </c>
      <c r="C825" s="571" t="s">
        <v>1142</v>
      </c>
      <c r="D825" s="364">
        <f>SUM(D826,D832)</f>
        <v>4498688</v>
      </c>
      <c r="E825" s="364">
        <f>SUM(E826,E832)</f>
        <v>2210329.9499999997</v>
      </c>
      <c r="F825" s="559">
        <f t="shared" si="45"/>
        <v>49.13276826488078</v>
      </c>
      <c r="G825" s="568"/>
      <c r="H825" s="275"/>
    </row>
    <row r="826" spans="1:7" s="363" customFormat="1" ht="18.75" customHeight="1">
      <c r="A826" s="560"/>
      <c r="B826" s="572"/>
      <c r="C826" s="573" t="s">
        <v>838</v>
      </c>
      <c r="D826" s="359">
        <f>SUM(D827,D830,D831)</f>
        <v>4498688</v>
      </c>
      <c r="E826" s="359">
        <f>SUM(E827,E830,E831)</f>
        <v>2210329.9499999997</v>
      </c>
      <c r="F826" s="561">
        <f t="shared" si="45"/>
        <v>49.13276826488078</v>
      </c>
      <c r="G826" s="576"/>
    </row>
    <row r="827" spans="1:7" s="275" customFormat="1" ht="18" customHeight="1">
      <c r="A827" s="562"/>
      <c r="B827" s="574"/>
      <c r="C827" s="575" t="s">
        <v>976</v>
      </c>
      <c r="D827" s="563">
        <f>SUM(D828,D829)</f>
        <v>3624798</v>
      </c>
      <c r="E827" s="563">
        <f>SUM(E828,E829)</f>
        <v>1852832.89</v>
      </c>
      <c r="F827" s="564">
        <f t="shared" si="45"/>
        <v>51.115479814323436</v>
      </c>
      <c r="G827" s="568"/>
    </row>
    <row r="828" spans="1:7" s="569" customFormat="1" ht="18.75" customHeight="1">
      <c r="A828" s="565"/>
      <c r="B828" s="577"/>
      <c r="C828" s="578" t="s">
        <v>1096</v>
      </c>
      <c r="D828" s="579">
        <v>2989970</v>
      </c>
      <c r="E828" s="579">
        <v>1507535.69</v>
      </c>
      <c r="F828" s="580">
        <f t="shared" si="45"/>
        <v>50.419759730030734</v>
      </c>
      <c r="G828" s="568"/>
    </row>
    <row r="829" spans="1:7" s="569" customFormat="1" ht="18.75" customHeight="1">
      <c r="A829" s="565"/>
      <c r="B829" s="577"/>
      <c r="C829" s="578" t="s">
        <v>977</v>
      </c>
      <c r="D829" s="579">
        <v>634828</v>
      </c>
      <c r="E829" s="579">
        <v>345297.2</v>
      </c>
      <c r="F829" s="580">
        <f t="shared" si="45"/>
        <v>54.39224482852049</v>
      </c>
      <c r="G829" s="568"/>
    </row>
    <row r="830" spans="1:7" s="275" customFormat="1" ht="18.75" customHeight="1">
      <c r="A830" s="583"/>
      <c r="B830" s="574"/>
      <c r="C830" s="575" t="s">
        <v>978</v>
      </c>
      <c r="D830" s="563">
        <v>868590</v>
      </c>
      <c r="E830" s="563">
        <v>354596.06</v>
      </c>
      <c r="F830" s="564">
        <f t="shared" si="45"/>
        <v>40.824331387651256</v>
      </c>
      <c r="G830" s="584"/>
    </row>
    <row r="831" spans="1:7" s="275" customFormat="1" ht="18.75" customHeight="1">
      <c r="A831" s="583"/>
      <c r="B831" s="574"/>
      <c r="C831" s="582" t="s">
        <v>982</v>
      </c>
      <c r="D831" s="563">
        <v>5300</v>
      </c>
      <c r="E831" s="563">
        <v>2901</v>
      </c>
      <c r="F831" s="564">
        <f t="shared" si="45"/>
        <v>54.73584905660377</v>
      </c>
      <c r="G831" s="568"/>
    </row>
    <row r="832" spans="1:7" s="363" customFormat="1" ht="18.75" customHeight="1" hidden="1">
      <c r="A832" s="560"/>
      <c r="B832" s="572"/>
      <c r="C832" s="573" t="s">
        <v>979</v>
      </c>
      <c r="D832" s="359">
        <f>SUM(D833,D834)</f>
        <v>0</v>
      </c>
      <c r="E832" s="359">
        <f>SUM(E833,E834)</f>
        <v>0</v>
      </c>
      <c r="F832" s="561" t="e">
        <f t="shared" si="45"/>
        <v>#DIV/0!</v>
      </c>
      <c r="G832" s="576"/>
    </row>
    <row r="833" spans="1:7" s="275" customFormat="1" ht="28.5" customHeight="1" hidden="1">
      <c r="A833" s="562"/>
      <c r="B833" s="574"/>
      <c r="C833" s="575" t="s">
        <v>251</v>
      </c>
      <c r="D833" s="563">
        <v>0</v>
      </c>
      <c r="E833" s="563">
        <v>0</v>
      </c>
      <c r="F833" s="564" t="e">
        <f t="shared" si="45"/>
        <v>#DIV/0!</v>
      </c>
      <c r="G833" s="584"/>
    </row>
    <row r="834" spans="1:7" s="275" customFormat="1" ht="22.5" customHeight="1" hidden="1">
      <c r="A834" s="583"/>
      <c r="B834" s="574"/>
      <c r="C834" s="582" t="s">
        <v>989</v>
      </c>
      <c r="D834" s="563">
        <v>0</v>
      </c>
      <c r="E834" s="563">
        <v>0</v>
      </c>
      <c r="F834" s="564" t="e">
        <f>E834/D834*100</f>
        <v>#DIV/0!</v>
      </c>
      <c r="G834" s="584"/>
    </row>
    <row r="835" spans="1:8" s="590" customFormat="1" ht="18.75" customHeight="1">
      <c r="A835" s="586"/>
      <c r="B835" s="570" t="s">
        <v>19</v>
      </c>
      <c r="C835" s="571" t="s">
        <v>20</v>
      </c>
      <c r="D835" s="364">
        <f>SUM(D836,D843)</f>
        <v>7309985</v>
      </c>
      <c r="E835" s="364">
        <f>SUM(E836,E843)</f>
        <v>3779691.88</v>
      </c>
      <c r="F835" s="559">
        <f t="shared" si="45"/>
        <v>51.70587737184139</v>
      </c>
      <c r="G835" s="568"/>
      <c r="H835" s="275"/>
    </row>
    <row r="836" spans="1:7" s="363" customFormat="1" ht="18.75" customHeight="1">
      <c r="A836" s="560"/>
      <c r="B836" s="572"/>
      <c r="C836" s="573" t="s">
        <v>838</v>
      </c>
      <c r="D836" s="359">
        <f>SUM(D837,D840,D841,D842)</f>
        <v>7309985</v>
      </c>
      <c r="E836" s="359">
        <f>SUM(E837,E840,E841,E842)</f>
        <v>3779691.88</v>
      </c>
      <c r="F836" s="561">
        <f t="shared" si="45"/>
        <v>51.70587737184139</v>
      </c>
      <c r="G836" s="576"/>
    </row>
    <row r="837" spans="1:7" s="275" customFormat="1" ht="18" customHeight="1">
      <c r="A837" s="562"/>
      <c r="B837" s="574"/>
      <c r="C837" s="575" t="s">
        <v>976</v>
      </c>
      <c r="D837" s="563">
        <f>SUM(D838,D839)</f>
        <v>6408847</v>
      </c>
      <c r="E837" s="563">
        <f>SUM(E838,E839)</f>
        <v>3535961.96</v>
      </c>
      <c r="F837" s="564">
        <f t="shared" si="45"/>
        <v>55.17313738337021</v>
      </c>
      <c r="G837" s="568"/>
    </row>
    <row r="838" spans="1:7" s="569" customFormat="1" ht="18.75" customHeight="1">
      <c r="A838" s="565"/>
      <c r="B838" s="577"/>
      <c r="C838" s="578" t="s">
        <v>1096</v>
      </c>
      <c r="D838" s="579">
        <v>5012653</v>
      </c>
      <c r="E838" s="579">
        <v>2579928.3</v>
      </c>
      <c r="F838" s="580">
        <f t="shared" si="45"/>
        <v>51.46832026872795</v>
      </c>
      <c r="G838" s="568"/>
    </row>
    <row r="839" spans="1:7" s="569" customFormat="1" ht="18.75" customHeight="1">
      <c r="A839" s="565"/>
      <c r="B839" s="577"/>
      <c r="C839" s="578" t="s">
        <v>977</v>
      </c>
      <c r="D839" s="579">
        <v>1396194</v>
      </c>
      <c r="E839" s="579">
        <v>956033.66</v>
      </c>
      <c r="F839" s="580">
        <f t="shared" si="45"/>
        <v>68.47427076752945</v>
      </c>
      <c r="G839" s="568"/>
    </row>
    <row r="840" spans="1:7" s="275" customFormat="1" ht="18.75" customHeight="1">
      <c r="A840" s="583"/>
      <c r="B840" s="574"/>
      <c r="C840" s="575" t="s">
        <v>978</v>
      </c>
      <c r="D840" s="563">
        <v>570937</v>
      </c>
      <c r="E840" s="563">
        <v>243189.37</v>
      </c>
      <c r="F840" s="564">
        <f t="shared" si="45"/>
        <v>42.59478191113906</v>
      </c>
      <c r="G840" s="584"/>
    </row>
    <row r="841" spans="1:7" s="275" customFormat="1" ht="18.75" customHeight="1">
      <c r="A841" s="583"/>
      <c r="B841" s="574"/>
      <c r="C841" s="582" t="s">
        <v>982</v>
      </c>
      <c r="D841" s="563">
        <v>4500</v>
      </c>
      <c r="E841" s="563">
        <v>540.55</v>
      </c>
      <c r="F841" s="564">
        <f t="shared" si="45"/>
        <v>12.01222222222222</v>
      </c>
      <c r="G841" s="568"/>
    </row>
    <row r="842" spans="1:7" s="275" customFormat="1" ht="18.75" customHeight="1">
      <c r="A842" s="583"/>
      <c r="B842" s="574"/>
      <c r="C842" s="582" t="s">
        <v>989</v>
      </c>
      <c r="D842" s="563">
        <v>325701</v>
      </c>
      <c r="E842" s="563">
        <v>0</v>
      </c>
      <c r="F842" s="564">
        <f>E842/D842*100</f>
        <v>0</v>
      </c>
      <c r="G842" s="568"/>
    </row>
    <row r="843" spans="1:7" s="363" customFormat="1" ht="18.75" customHeight="1" hidden="1">
      <c r="A843" s="560"/>
      <c r="B843" s="572"/>
      <c r="C843" s="573" t="s">
        <v>979</v>
      </c>
      <c r="D843" s="359">
        <f>SUM(D844)</f>
        <v>0</v>
      </c>
      <c r="E843" s="359">
        <f>SUM(E844)</f>
        <v>0</v>
      </c>
      <c r="F843" s="561" t="e">
        <f>E843/D843*100</f>
        <v>#DIV/0!</v>
      </c>
      <c r="G843" s="576"/>
    </row>
    <row r="844" spans="1:7" s="275" customFormat="1" ht="25.5" customHeight="1" hidden="1">
      <c r="A844" s="562"/>
      <c r="B844" s="574"/>
      <c r="C844" s="575" t="s">
        <v>251</v>
      </c>
      <c r="D844" s="563">
        <v>0</v>
      </c>
      <c r="E844" s="563">
        <v>0</v>
      </c>
      <c r="F844" s="564" t="e">
        <f>E844/D844*100</f>
        <v>#DIV/0!</v>
      </c>
      <c r="G844" s="584"/>
    </row>
    <row r="845" spans="1:8" s="590" customFormat="1" ht="18.75" customHeight="1">
      <c r="A845" s="586"/>
      <c r="B845" s="570" t="s">
        <v>1143</v>
      </c>
      <c r="C845" s="571" t="s">
        <v>1144</v>
      </c>
      <c r="D845" s="364">
        <f>SUM(D846)</f>
        <v>542839</v>
      </c>
      <c r="E845" s="364">
        <f>SUM(E846)</f>
        <v>316021.05</v>
      </c>
      <c r="F845" s="559">
        <f t="shared" si="45"/>
        <v>58.216349599052386</v>
      </c>
      <c r="G845" s="568"/>
      <c r="H845" s="275"/>
    </row>
    <row r="846" spans="1:7" s="363" customFormat="1" ht="18.75" customHeight="1">
      <c r="A846" s="560"/>
      <c r="B846" s="572"/>
      <c r="C846" s="573" t="s">
        <v>838</v>
      </c>
      <c r="D846" s="359">
        <f>SUM(D847)</f>
        <v>542839</v>
      </c>
      <c r="E846" s="359">
        <f>SUM(E847)</f>
        <v>316021.05</v>
      </c>
      <c r="F846" s="561">
        <f t="shared" si="45"/>
        <v>58.216349599052386</v>
      </c>
      <c r="G846" s="576"/>
    </row>
    <row r="847" spans="1:7" s="275" customFormat="1" ht="18" customHeight="1">
      <c r="A847" s="562"/>
      <c r="B847" s="574"/>
      <c r="C847" s="575" t="s">
        <v>976</v>
      </c>
      <c r="D847" s="563">
        <f>SUM(D848,D849)</f>
        <v>542839</v>
      </c>
      <c r="E847" s="563">
        <f>SUM(E848,E849)</f>
        <v>316021.05</v>
      </c>
      <c r="F847" s="564">
        <f t="shared" si="45"/>
        <v>58.216349599052386</v>
      </c>
      <c r="G847" s="568"/>
    </row>
    <row r="848" spans="1:7" s="569" customFormat="1" ht="18.75" customHeight="1">
      <c r="A848" s="565"/>
      <c r="B848" s="577"/>
      <c r="C848" s="578" t="s">
        <v>1096</v>
      </c>
      <c r="D848" s="579">
        <v>474948</v>
      </c>
      <c r="E848" s="579">
        <v>281163.94</v>
      </c>
      <c r="F848" s="580">
        <f t="shared" si="45"/>
        <v>59.19888914154813</v>
      </c>
      <c r="G848" s="568"/>
    </row>
    <row r="849" spans="1:7" s="569" customFormat="1" ht="18.75" customHeight="1">
      <c r="A849" s="565"/>
      <c r="B849" s="577"/>
      <c r="C849" s="578" t="s">
        <v>977</v>
      </c>
      <c r="D849" s="579">
        <v>67891</v>
      </c>
      <c r="E849" s="579">
        <v>34857.11</v>
      </c>
      <c r="F849" s="580">
        <f t="shared" si="45"/>
        <v>51.34275529893506</v>
      </c>
      <c r="G849" s="568"/>
    </row>
    <row r="850" spans="1:8" s="590" customFormat="1" ht="28.5" customHeight="1">
      <c r="A850" s="586"/>
      <c r="B850" s="593" t="s">
        <v>1145</v>
      </c>
      <c r="C850" s="376" t="s">
        <v>1146</v>
      </c>
      <c r="D850" s="364">
        <f>SUM(D851,D856)</f>
        <v>206800</v>
      </c>
      <c r="E850" s="364">
        <f>SUM(E851,E856)</f>
        <v>100573.21</v>
      </c>
      <c r="F850" s="559">
        <f t="shared" si="45"/>
        <v>48.63308027079304</v>
      </c>
      <c r="G850" s="568"/>
      <c r="H850" s="275"/>
    </row>
    <row r="851" spans="1:7" s="363" customFormat="1" ht="18.75" customHeight="1">
      <c r="A851" s="560"/>
      <c r="B851" s="572"/>
      <c r="C851" s="573" t="s">
        <v>838</v>
      </c>
      <c r="D851" s="359">
        <f>SUM(D852,D855)</f>
        <v>206800</v>
      </c>
      <c r="E851" s="359">
        <f>SUM(E852,E855)</f>
        <v>100573.21</v>
      </c>
      <c r="F851" s="561">
        <f t="shared" si="45"/>
        <v>48.63308027079304</v>
      </c>
      <c r="G851" s="576"/>
    </row>
    <row r="852" spans="1:7" s="275" customFormat="1" ht="18" customHeight="1">
      <c r="A852" s="562"/>
      <c r="B852" s="574"/>
      <c r="C852" s="575" t="s">
        <v>976</v>
      </c>
      <c r="D852" s="563">
        <f>SUM(D853,D854)</f>
        <v>205800</v>
      </c>
      <c r="E852" s="563">
        <f>SUM(E853,E854)</f>
        <v>100542.41</v>
      </c>
      <c r="F852" s="564">
        <f t="shared" si="45"/>
        <v>48.85442662779398</v>
      </c>
      <c r="G852" s="568"/>
    </row>
    <row r="853" spans="1:7" s="569" customFormat="1" ht="18.75" customHeight="1">
      <c r="A853" s="565"/>
      <c r="B853" s="577"/>
      <c r="C853" s="578" t="s">
        <v>1096</v>
      </c>
      <c r="D853" s="579">
        <v>98465</v>
      </c>
      <c r="E853" s="579">
        <v>60240.33</v>
      </c>
      <c r="F853" s="580">
        <f t="shared" si="45"/>
        <v>61.179434316762304</v>
      </c>
      <c r="G853" s="568"/>
    </row>
    <row r="854" spans="1:7" s="569" customFormat="1" ht="18.75" customHeight="1">
      <c r="A854" s="565"/>
      <c r="B854" s="577"/>
      <c r="C854" s="578" t="s">
        <v>977</v>
      </c>
      <c r="D854" s="579">
        <v>107335</v>
      </c>
      <c r="E854" s="579">
        <v>40302.08</v>
      </c>
      <c r="F854" s="580">
        <f t="shared" si="45"/>
        <v>37.54793869660409</v>
      </c>
      <c r="G854" s="568"/>
    </row>
    <row r="855" spans="1:7" s="275" customFormat="1" ht="18.75" customHeight="1">
      <c r="A855" s="583"/>
      <c r="B855" s="574"/>
      <c r="C855" s="582" t="s">
        <v>982</v>
      </c>
      <c r="D855" s="563">
        <v>1000</v>
      </c>
      <c r="E855" s="563">
        <v>30.8</v>
      </c>
      <c r="F855" s="564">
        <f t="shared" si="45"/>
        <v>3.08</v>
      </c>
      <c r="G855" s="568"/>
    </row>
    <row r="856" spans="1:7" s="363" customFormat="1" ht="18.75" customHeight="1" hidden="1">
      <c r="A856" s="560"/>
      <c r="B856" s="572"/>
      <c r="C856" s="573" t="s">
        <v>979</v>
      </c>
      <c r="D856" s="359">
        <f>SUM(D857)</f>
        <v>0</v>
      </c>
      <c r="E856" s="359">
        <f>SUM(E857)</f>
        <v>0</v>
      </c>
      <c r="F856" s="561" t="e">
        <f aca="true" t="shared" si="48" ref="F856:F878">E856/D856*100</f>
        <v>#DIV/0!</v>
      </c>
      <c r="G856" s="576"/>
    </row>
    <row r="857" spans="1:7" s="275" customFormat="1" ht="28.5" customHeight="1" hidden="1">
      <c r="A857" s="562"/>
      <c r="B857" s="574"/>
      <c r="C857" s="575" t="s">
        <v>251</v>
      </c>
      <c r="D857" s="563">
        <v>0</v>
      </c>
      <c r="E857" s="563">
        <v>0</v>
      </c>
      <c r="F857" s="564" t="e">
        <f t="shared" si="48"/>
        <v>#DIV/0!</v>
      </c>
      <c r="G857" s="584"/>
    </row>
    <row r="858" spans="1:7" s="2" customFormat="1" ht="18.75" customHeight="1">
      <c r="A858" s="586"/>
      <c r="B858" s="570" t="s">
        <v>1147</v>
      </c>
      <c r="C858" s="571" t="s">
        <v>1148</v>
      </c>
      <c r="D858" s="364">
        <f>D861</f>
        <v>64837</v>
      </c>
      <c r="E858" s="364">
        <f>E861</f>
        <v>14745.62</v>
      </c>
      <c r="F858" s="559">
        <f t="shared" si="48"/>
        <v>22.742600675540203</v>
      </c>
      <c r="G858" s="1"/>
    </row>
    <row r="859" spans="1:7" s="363" customFormat="1" ht="18.75" customHeight="1">
      <c r="A859" s="560"/>
      <c r="B859" s="572"/>
      <c r="C859" s="573" t="s">
        <v>838</v>
      </c>
      <c r="D859" s="359">
        <f>SUM(D860)</f>
        <v>64837</v>
      </c>
      <c r="E859" s="359">
        <f>SUM(E860)</f>
        <v>14745.62</v>
      </c>
      <c r="F859" s="561">
        <f t="shared" si="48"/>
        <v>22.742600675540203</v>
      </c>
      <c r="G859" s="576"/>
    </row>
    <row r="860" spans="1:7" s="275" customFormat="1" ht="18" customHeight="1">
      <c r="A860" s="562"/>
      <c r="B860" s="574"/>
      <c r="C860" s="575" t="s">
        <v>976</v>
      </c>
      <c r="D860" s="563">
        <f>SUM(D861)</f>
        <v>64837</v>
      </c>
      <c r="E860" s="563">
        <f>SUM(E861)</f>
        <v>14745.62</v>
      </c>
      <c r="F860" s="564">
        <f t="shared" si="48"/>
        <v>22.742600675540203</v>
      </c>
      <c r="G860" s="568"/>
    </row>
    <row r="861" spans="1:7" s="569" customFormat="1" ht="18.75" customHeight="1">
      <c r="A861" s="565"/>
      <c r="B861" s="577"/>
      <c r="C861" s="578" t="s">
        <v>977</v>
      </c>
      <c r="D861" s="579">
        <v>64837</v>
      </c>
      <c r="E861" s="579">
        <v>14745.62</v>
      </c>
      <c r="F861" s="580">
        <f t="shared" si="48"/>
        <v>22.742600675540203</v>
      </c>
      <c r="G861" s="568"/>
    </row>
    <row r="862" spans="1:8" s="590" customFormat="1" ht="66" customHeight="1">
      <c r="A862" s="586"/>
      <c r="B862" s="593" t="s">
        <v>1274</v>
      </c>
      <c r="C862" s="376" t="s">
        <v>1275</v>
      </c>
      <c r="D862" s="364">
        <f>SUM(D863)</f>
        <v>75448</v>
      </c>
      <c r="E862" s="364">
        <f>SUM(E863)</f>
        <v>15624.07</v>
      </c>
      <c r="F862" s="559">
        <f t="shared" si="48"/>
        <v>20.70839518608843</v>
      </c>
      <c r="G862" s="568"/>
      <c r="H862" s="275"/>
    </row>
    <row r="863" spans="1:7" s="363" customFormat="1" ht="18.75" customHeight="1">
      <c r="A863" s="560"/>
      <c r="B863" s="572"/>
      <c r="C863" s="573" t="s">
        <v>838</v>
      </c>
      <c r="D863" s="359">
        <f>SUM(D864)</f>
        <v>75448</v>
      </c>
      <c r="E863" s="359">
        <f>SUM(E864)</f>
        <v>15624.07</v>
      </c>
      <c r="F863" s="561">
        <f t="shared" si="48"/>
        <v>20.70839518608843</v>
      </c>
      <c r="G863" s="576"/>
    </row>
    <row r="864" spans="1:7" s="275" customFormat="1" ht="18" customHeight="1">
      <c r="A864" s="562"/>
      <c r="B864" s="574"/>
      <c r="C864" s="575" t="s">
        <v>976</v>
      </c>
      <c r="D864" s="563">
        <f>SUM(D865,D866)</f>
        <v>75448</v>
      </c>
      <c r="E864" s="563">
        <f>SUM(E865,E866)</f>
        <v>15624.07</v>
      </c>
      <c r="F864" s="564">
        <f t="shared" si="48"/>
        <v>20.70839518608843</v>
      </c>
      <c r="G864" s="568"/>
    </row>
    <row r="865" spans="1:7" s="569" customFormat="1" ht="18.75" customHeight="1">
      <c r="A865" s="565"/>
      <c r="B865" s="577"/>
      <c r="C865" s="578" t="s">
        <v>1096</v>
      </c>
      <c r="D865" s="579">
        <v>46501</v>
      </c>
      <c r="E865" s="579">
        <v>15624.07</v>
      </c>
      <c r="F865" s="580">
        <f t="shared" si="48"/>
        <v>33.599427969290986</v>
      </c>
      <c r="G865" s="568"/>
    </row>
    <row r="866" spans="1:7" s="569" customFormat="1" ht="18.75" customHeight="1">
      <c r="A866" s="565"/>
      <c r="B866" s="577"/>
      <c r="C866" s="578" t="s">
        <v>977</v>
      </c>
      <c r="D866" s="579">
        <v>28947</v>
      </c>
      <c r="E866" s="579">
        <v>0</v>
      </c>
      <c r="F866" s="580">
        <f t="shared" si="48"/>
        <v>0</v>
      </c>
      <c r="G866" s="568"/>
    </row>
    <row r="867" spans="1:8" s="590" customFormat="1" ht="18.75" customHeight="1">
      <c r="A867" s="586"/>
      <c r="B867" s="570" t="s">
        <v>1149</v>
      </c>
      <c r="C867" s="571" t="s">
        <v>176</v>
      </c>
      <c r="D867" s="364">
        <f>SUM(D868)</f>
        <v>17531</v>
      </c>
      <c r="E867" s="364">
        <f>SUM(E868)</f>
        <v>6467</v>
      </c>
      <c r="F867" s="559">
        <f t="shared" si="48"/>
        <v>36.888939592721464</v>
      </c>
      <c r="G867" s="568"/>
      <c r="H867" s="275"/>
    </row>
    <row r="868" spans="1:7" s="363" customFormat="1" ht="18.75" customHeight="1">
      <c r="A868" s="560"/>
      <c r="B868" s="572"/>
      <c r="C868" s="573" t="s">
        <v>838</v>
      </c>
      <c r="D868" s="359">
        <f>SUM(D869,D872)</f>
        <v>17531</v>
      </c>
      <c r="E868" s="359">
        <f>SUM(E869,E872)</f>
        <v>6467</v>
      </c>
      <c r="F868" s="561">
        <f t="shared" si="48"/>
        <v>36.888939592721464</v>
      </c>
      <c r="G868" s="576"/>
    </row>
    <row r="869" spans="1:7" s="275" customFormat="1" ht="18" customHeight="1" hidden="1">
      <c r="A869" s="562"/>
      <c r="B869" s="574"/>
      <c r="C869" s="575" t="s">
        <v>976</v>
      </c>
      <c r="D869" s="563">
        <f>SUM(D870,D871)</f>
        <v>0</v>
      </c>
      <c r="E869" s="563">
        <f>SUM(E870,E871)</f>
        <v>0</v>
      </c>
      <c r="F869" s="564" t="e">
        <f t="shared" si="48"/>
        <v>#DIV/0!</v>
      </c>
      <c r="G869" s="568"/>
    </row>
    <row r="870" spans="1:7" s="569" customFormat="1" ht="18.75" customHeight="1" hidden="1">
      <c r="A870" s="565"/>
      <c r="B870" s="577"/>
      <c r="C870" s="578" t="s">
        <v>1096</v>
      </c>
      <c r="D870" s="579">
        <v>0</v>
      </c>
      <c r="E870" s="579">
        <v>0</v>
      </c>
      <c r="F870" s="580" t="e">
        <f t="shared" si="48"/>
        <v>#DIV/0!</v>
      </c>
      <c r="G870" s="568"/>
    </row>
    <row r="871" spans="1:7" s="569" customFormat="1" ht="18.75" customHeight="1" hidden="1">
      <c r="A871" s="565"/>
      <c r="B871" s="577"/>
      <c r="C871" s="578" t="s">
        <v>977</v>
      </c>
      <c r="D871" s="579">
        <v>0</v>
      </c>
      <c r="E871" s="579">
        <v>0</v>
      </c>
      <c r="F871" s="580" t="e">
        <f t="shared" si="48"/>
        <v>#DIV/0!</v>
      </c>
      <c r="G871" s="568"/>
    </row>
    <row r="872" spans="1:7" s="275" customFormat="1" ht="18.75" customHeight="1">
      <c r="A872" s="583"/>
      <c r="B872" s="574"/>
      <c r="C872" s="582" t="s">
        <v>982</v>
      </c>
      <c r="D872" s="563">
        <v>17531</v>
      </c>
      <c r="E872" s="563">
        <v>6467</v>
      </c>
      <c r="F872" s="564">
        <f t="shared" si="48"/>
        <v>36.888939592721464</v>
      </c>
      <c r="G872" s="568"/>
    </row>
    <row r="873" spans="1:10" s="2" customFormat="1" ht="18.75" customHeight="1">
      <c r="A873" s="587" t="s">
        <v>21</v>
      </c>
      <c r="B873" s="554"/>
      <c r="C873" s="555" t="s">
        <v>22</v>
      </c>
      <c r="D873" s="556">
        <f>SUM(D874,D883,D892,D897,D902)</f>
        <v>14044957</v>
      </c>
      <c r="E873" s="556">
        <f>SUM(E874,E883,E892,E897,E902)</f>
        <v>5740028.13</v>
      </c>
      <c r="F873" s="557">
        <f t="shared" si="48"/>
        <v>40.86896193416612</v>
      </c>
      <c r="G873" s="1"/>
      <c r="I873" s="515"/>
      <c r="J873" s="515"/>
    </row>
    <row r="874" spans="1:7" s="275" customFormat="1" ht="18.75" customHeight="1">
      <c r="A874" s="586"/>
      <c r="B874" s="570" t="s">
        <v>1150</v>
      </c>
      <c r="C874" s="571" t="s">
        <v>1151</v>
      </c>
      <c r="D874" s="364">
        <f>SUM(D875,D880)</f>
        <v>5361607</v>
      </c>
      <c r="E874" s="364">
        <f>SUM(E875,E880)</f>
        <v>4854764.42</v>
      </c>
      <c r="F874" s="559">
        <f t="shared" si="48"/>
        <v>90.54681590799176</v>
      </c>
      <c r="G874" s="568"/>
    </row>
    <row r="875" spans="1:7" s="363" customFormat="1" ht="18.75" customHeight="1">
      <c r="A875" s="560"/>
      <c r="B875" s="572"/>
      <c r="C875" s="573" t="s">
        <v>838</v>
      </c>
      <c r="D875" s="359">
        <f>SUM(D876,D879)</f>
        <v>4861607</v>
      </c>
      <c r="E875" s="359">
        <f>SUM(E876,E879)</f>
        <v>4379764.42</v>
      </c>
      <c r="F875" s="561">
        <f t="shared" si="48"/>
        <v>90.08882083640245</v>
      </c>
      <c r="G875" s="576"/>
    </row>
    <row r="876" spans="1:7" s="275" customFormat="1" ht="18" customHeight="1">
      <c r="A876" s="562"/>
      <c r="B876" s="574"/>
      <c r="C876" s="575" t="s">
        <v>976</v>
      </c>
      <c r="D876" s="563">
        <f>SUM(D877,D878)</f>
        <v>4861607</v>
      </c>
      <c r="E876" s="563">
        <f>SUM(E877,E878)</f>
        <v>4379764.42</v>
      </c>
      <c r="F876" s="564">
        <f t="shared" si="48"/>
        <v>90.08882083640245</v>
      </c>
      <c r="G876" s="568"/>
    </row>
    <row r="877" spans="1:7" s="569" customFormat="1" ht="18.75" customHeight="1" hidden="1">
      <c r="A877" s="565"/>
      <c r="B877" s="577"/>
      <c r="C877" s="578" t="s">
        <v>1096</v>
      </c>
      <c r="D877" s="579">
        <v>0</v>
      </c>
      <c r="E877" s="579">
        <v>0</v>
      </c>
      <c r="F877" s="580" t="e">
        <f t="shared" si="48"/>
        <v>#DIV/0!</v>
      </c>
      <c r="G877" s="568"/>
    </row>
    <row r="878" spans="1:7" s="569" customFormat="1" ht="18.75" customHeight="1">
      <c r="A878" s="565"/>
      <c r="B878" s="577"/>
      <c r="C878" s="578" t="s">
        <v>977</v>
      </c>
      <c r="D878" s="579">
        <v>4861607</v>
      </c>
      <c r="E878" s="579">
        <v>4379764.42</v>
      </c>
      <c r="F878" s="580">
        <f t="shared" si="48"/>
        <v>90.08882083640245</v>
      </c>
      <c r="G878" s="568"/>
    </row>
    <row r="879" spans="1:7" s="275" customFormat="1" ht="18.75" customHeight="1" hidden="1">
      <c r="A879" s="583"/>
      <c r="B879" s="574"/>
      <c r="C879" s="575" t="s">
        <v>978</v>
      </c>
      <c r="D879" s="563">
        <v>0</v>
      </c>
      <c r="E879" s="563">
        <v>0</v>
      </c>
      <c r="F879" s="564" t="e">
        <f aca="true" t="shared" si="49" ref="F879:F889">E879/D879*100</f>
        <v>#DIV/0!</v>
      </c>
      <c r="G879" s="584"/>
    </row>
    <row r="880" spans="1:7" s="363" customFormat="1" ht="18.75" customHeight="1">
      <c r="A880" s="560"/>
      <c r="B880" s="572"/>
      <c r="C880" s="573" t="s">
        <v>979</v>
      </c>
      <c r="D880" s="359">
        <f>SUM(D881,D882)</f>
        <v>500000</v>
      </c>
      <c r="E880" s="359">
        <f>SUM(E881,E882)</f>
        <v>475000</v>
      </c>
      <c r="F880" s="561">
        <f t="shared" si="49"/>
        <v>95</v>
      </c>
      <c r="G880" s="576"/>
    </row>
    <row r="881" spans="1:7" s="275" customFormat="1" ht="28.5" customHeight="1">
      <c r="A881" s="562"/>
      <c r="B881" s="574"/>
      <c r="C881" s="575" t="s">
        <v>251</v>
      </c>
      <c r="D881" s="563">
        <v>500000</v>
      </c>
      <c r="E881" s="563">
        <v>475000</v>
      </c>
      <c r="F881" s="564">
        <f t="shared" si="49"/>
        <v>95</v>
      </c>
      <c r="G881" s="584"/>
    </row>
    <row r="882" spans="1:7" s="275" customFormat="1" ht="39" customHeight="1" hidden="1">
      <c r="A882" s="583"/>
      <c r="B882" s="574"/>
      <c r="C882" s="502" t="s">
        <v>180</v>
      </c>
      <c r="D882" s="563">
        <v>0</v>
      </c>
      <c r="E882" s="563">
        <v>0</v>
      </c>
      <c r="F882" s="564" t="e">
        <f t="shared" si="49"/>
        <v>#DIV/0!</v>
      </c>
      <c r="G882" s="584"/>
    </row>
    <row r="883" spans="1:10" s="2" customFormat="1" ht="27" customHeight="1">
      <c r="A883" s="586"/>
      <c r="B883" s="570" t="s">
        <v>1152</v>
      </c>
      <c r="C883" s="376" t="s">
        <v>1154</v>
      </c>
      <c r="D883" s="364">
        <f>SUM(D884,D889)</f>
        <v>7817350</v>
      </c>
      <c r="E883" s="364">
        <f>SUM(E884,E889)</f>
        <v>358157.17</v>
      </c>
      <c r="F883" s="559">
        <f t="shared" si="49"/>
        <v>4.581567538871869</v>
      </c>
      <c r="G883" s="1"/>
      <c r="I883" s="515"/>
      <c r="J883" s="515"/>
    </row>
    <row r="884" spans="1:7" s="363" customFormat="1" ht="18.75" customHeight="1">
      <c r="A884" s="560"/>
      <c r="B884" s="572"/>
      <c r="C884" s="573" t="s">
        <v>838</v>
      </c>
      <c r="D884" s="359">
        <f>SUM(D885,D888)</f>
        <v>224850</v>
      </c>
      <c r="E884" s="359">
        <f>SUM(E885,E888)</f>
        <v>224846.87</v>
      </c>
      <c r="F884" s="561">
        <f t="shared" si="49"/>
        <v>99.9986079608628</v>
      </c>
      <c r="G884" s="576"/>
    </row>
    <row r="885" spans="1:7" s="275" customFormat="1" ht="18" customHeight="1">
      <c r="A885" s="562"/>
      <c r="B885" s="574"/>
      <c r="C885" s="575" t="s">
        <v>976</v>
      </c>
      <c r="D885" s="563">
        <f>SUM(D886,D887)</f>
        <v>224850</v>
      </c>
      <c r="E885" s="563">
        <f>SUM(E886,E887)</f>
        <v>224846.87</v>
      </c>
      <c r="F885" s="564">
        <f t="shared" si="49"/>
        <v>99.9986079608628</v>
      </c>
      <c r="G885" s="568"/>
    </row>
    <row r="886" spans="1:7" s="569" customFormat="1" ht="18.75" customHeight="1" hidden="1">
      <c r="A886" s="565"/>
      <c r="B886" s="577"/>
      <c r="C886" s="578" t="s">
        <v>1096</v>
      </c>
      <c r="D886" s="579">
        <v>0</v>
      </c>
      <c r="E886" s="579">
        <v>0</v>
      </c>
      <c r="F886" s="580" t="e">
        <f t="shared" si="49"/>
        <v>#DIV/0!</v>
      </c>
      <c r="G886" s="568"/>
    </row>
    <row r="887" spans="1:7" s="569" customFormat="1" ht="18.75" customHeight="1">
      <c r="A887" s="565"/>
      <c r="B887" s="577"/>
      <c r="C887" s="578" t="s">
        <v>977</v>
      </c>
      <c r="D887" s="579">
        <v>224850</v>
      </c>
      <c r="E887" s="579">
        <v>224846.87</v>
      </c>
      <c r="F887" s="580">
        <f t="shared" si="49"/>
        <v>99.9986079608628</v>
      </c>
      <c r="G887" s="568"/>
    </row>
    <row r="888" spans="1:7" s="275" customFormat="1" ht="18.75" customHeight="1" hidden="1">
      <c r="A888" s="583"/>
      <c r="B888" s="574"/>
      <c r="C888" s="575" t="s">
        <v>978</v>
      </c>
      <c r="D888" s="563">
        <v>0</v>
      </c>
      <c r="E888" s="563">
        <v>0</v>
      </c>
      <c r="F888" s="564" t="e">
        <f t="shared" si="49"/>
        <v>#DIV/0!</v>
      </c>
      <c r="G888" s="584"/>
    </row>
    <row r="889" spans="1:7" s="363" customFormat="1" ht="18.75" customHeight="1">
      <c r="A889" s="560"/>
      <c r="B889" s="572"/>
      <c r="C889" s="573" t="s">
        <v>979</v>
      </c>
      <c r="D889" s="359">
        <f>SUM(D890,D891)</f>
        <v>7592500</v>
      </c>
      <c r="E889" s="359">
        <f>SUM(E890,E891)</f>
        <v>133310.3</v>
      </c>
      <c r="F889" s="561">
        <f t="shared" si="49"/>
        <v>1.7558156075074085</v>
      </c>
      <c r="G889" s="576"/>
    </row>
    <row r="890" spans="1:7" s="275" customFormat="1" ht="25.5" customHeight="1">
      <c r="A890" s="562"/>
      <c r="B890" s="574"/>
      <c r="C890" s="575" t="s">
        <v>251</v>
      </c>
      <c r="D890" s="563">
        <v>7592500</v>
      </c>
      <c r="E890" s="563">
        <v>133310.3</v>
      </c>
      <c r="F890" s="564">
        <f aca="true" t="shared" si="50" ref="F890:F896">E890/D890*100</f>
        <v>1.7558156075074085</v>
      </c>
      <c r="G890" s="584"/>
    </row>
    <row r="891" spans="1:7" s="275" customFormat="1" ht="18.75" customHeight="1" hidden="1">
      <c r="A891" s="562"/>
      <c r="B891" s="574"/>
      <c r="C891" s="575"/>
      <c r="D891" s="563">
        <v>0</v>
      </c>
      <c r="E891" s="563">
        <v>0</v>
      </c>
      <c r="F891" s="564" t="e">
        <f t="shared" si="50"/>
        <v>#DIV/0!</v>
      </c>
      <c r="G891" s="584"/>
    </row>
    <row r="892" spans="1:10" s="2" customFormat="1" ht="18.75" customHeight="1">
      <c r="A892" s="586"/>
      <c r="B892" s="570" t="s">
        <v>1155</v>
      </c>
      <c r="C892" s="376" t="s">
        <v>516</v>
      </c>
      <c r="D892" s="364">
        <f aca="true" t="shared" si="51" ref="D892:E894">SUM(D893)</f>
        <v>231000</v>
      </c>
      <c r="E892" s="364">
        <f t="shared" si="51"/>
        <v>231000</v>
      </c>
      <c r="F892" s="559">
        <f t="shared" si="50"/>
        <v>100</v>
      </c>
      <c r="G892" s="1"/>
      <c r="I892" s="515"/>
      <c r="J892" s="515"/>
    </row>
    <row r="893" spans="1:7" s="363" customFormat="1" ht="18.75" customHeight="1">
      <c r="A893" s="560"/>
      <c r="B893" s="572"/>
      <c r="C893" s="573" t="s">
        <v>838</v>
      </c>
      <c r="D893" s="359">
        <f>SUM(D896)</f>
        <v>231000</v>
      </c>
      <c r="E893" s="359">
        <f>SUM(E896)</f>
        <v>231000</v>
      </c>
      <c r="F893" s="561">
        <f t="shared" si="50"/>
        <v>100</v>
      </c>
      <c r="G893" s="576"/>
    </row>
    <row r="894" spans="1:7" s="275" customFormat="1" ht="18" customHeight="1" hidden="1">
      <c r="A894" s="562"/>
      <c r="B894" s="574"/>
      <c r="C894" s="575" t="s">
        <v>976</v>
      </c>
      <c r="D894" s="563">
        <f t="shared" si="51"/>
        <v>0</v>
      </c>
      <c r="E894" s="563">
        <f t="shared" si="51"/>
        <v>0</v>
      </c>
      <c r="F894" s="564" t="e">
        <f t="shared" si="50"/>
        <v>#DIV/0!</v>
      </c>
      <c r="G894" s="568"/>
    </row>
    <row r="895" spans="1:7" s="569" customFormat="1" ht="18.75" customHeight="1" hidden="1">
      <c r="A895" s="565"/>
      <c r="B895" s="577"/>
      <c r="C895" s="578" t="s">
        <v>977</v>
      </c>
      <c r="D895" s="579">
        <v>0</v>
      </c>
      <c r="E895" s="579">
        <v>0</v>
      </c>
      <c r="F895" s="580" t="e">
        <f t="shared" si="50"/>
        <v>#DIV/0!</v>
      </c>
      <c r="G895" s="568"/>
    </row>
    <row r="896" spans="1:7" s="569" customFormat="1" ht="18.75" customHeight="1">
      <c r="A896" s="581"/>
      <c r="B896" s="577"/>
      <c r="C896" s="575" t="s">
        <v>978</v>
      </c>
      <c r="D896" s="563">
        <v>231000</v>
      </c>
      <c r="E896" s="563">
        <v>231000</v>
      </c>
      <c r="F896" s="564">
        <f t="shared" si="50"/>
        <v>100</v>
      </c>
      <c r="G896" s="568"/>
    </row>
    <row r="897" spans="1:8" s="590" customFormat="1" ht="40.5" customHeight="1">
      <c r="A897" s="586"/>
      <c r="B897" s="593" t="s">
        <v>810</v>
      </c>
      <c r="C897" s="594" t="s">
        <v>1075</v>
      </c>
      <c r="D897" s="364">
        <f>D898</f>
        <v>635000</v>
      </c>
      <c r="E897" s="364">
        <f>E898</f>
        <v>296106.54</v>
      </c>
      <c r="F897" s="559">
        <f aca="true" t="shared" si="52" ref="F897:F909">E897/D897*100</f>
        <v>46.63095118110236</v>
      </c>
      <c r="G897" s="568"/>
      <c r="H897" s="275"/>
    </row>
    <row r="898" spans="1:7" s="363" customFormat="1" ht="18.75" customHeight="1">
      <c r="A898" s="560"/>
      <c r="B898" s="572"/>
      <c r="C898" s="573" t="s">
        <v>838</v>
      </c>
      <c r="D898" s="359">
        <f>SUM(D899)</f>
        <v>635000</v>
      </c>
      <c r="E898" s="359">
        <f>SUM(E899)</f>
        <v>296106.54</v>
      </c>
      <c r="F898" s="561">
        <f t="shared" si="52"/>
        <v>46.63095118110236</v>
      </c>
      <c r="G898" s="576"/>
    </row>
    <row r="899" spans="1:7" s="275" customFormat="1" ht="18" customHeight="1">
      <c r="A899" s="562"/>
      <c r="B899" s="574"/>
      <c r="C899" s="575" t="s">
        <v>976</v>
      </c>
      <c r="D899" s="563">
        <f>SUM(D900,D901)</f>
        <v>635000</v>
      </c>
      <c r="E899" s="563">
        <f>SUM(E900,E901)</f>
        <v>296106.54</v>
      </c>
      <c r="F899" s="564">
        <f t="shared" si="52"/>
        <v>46.63095118110236</v>
      </c>
      <c r="G899" s="568"/>
    </row>
    <row r="900" spans="1:7" s="569" customFormat="1" ht="18.75" customHeight="1">
      <c r="A900" s="565"/>
      <c r="B900" s="577"/>
      <c r="C900" s="578" t="s">
        <v>977</v>
      </c>
      <c r="D900" s="579">
        <v>635000</v>
      </c>
      <c r="E900" s="579">
        <v>296106.54</v>
      </c>
      <c r="F900" s="580">
        <f t="shared" si="52"/>
        <v>46.63095118110236</v>
      </c>
      <c r="G900" s="568"/>
    </row>
    <row r="901" spans="1:7" s="569" customFormat="1" ht="18.75" customHeight="1" hidden="1">
      <c r="A901" s="565"/>
      <c r="B901" s="577"/>
      <c r="C901" s="578" t="s">
        <v>977</v>
      </c>
      <c r="D901" s="579">
        <v>0</v>
      </c>
      <c r="E901" s="579">
        <v>0</v>
      </c>
      <c r="F901" s="580" t="e">
        <f t="shared" si="52"/>
        <v>#DIV/0!</v>
      </c>
      <c r="G901" s="568"/>
    </row>
    <row r="902" spans="1:7" s="2" customFormat="1" ht="18.75" customHeight="1" hidden="1">
      <c r="A902" s="586"/>
      <c r="B902" s="570" t="s">
        <v>521</v>
      </c>
      <c r="C902" s="571" t="s">
        <v>176</v>
      </c>
      <c r="D902" s="364">
        <f>SUM(D903)</f>
        <v>0</v>
      </c>
      <c r="E902" s="364">
        <f>SUM(E903)</f>
        <v>0</v>
      </c>
      <c r="F902" s="559" t="e">
        <f t="shared" si="52"/>
        <v>#DIV/0!</v>
      </c>
      <c r="G902" s="1"/>
    </row>
    <row r="903" spans="1:7" s="363" customFormat="1" ht="18.75" customHeight="1" hidden="1">
      <c r="A903" s="560"/>
      <c r="B903" s="572"/>
      <c r="C903" s="573" t="s">
        <v>838</v>
      </c>
      <c r="D903" s="359">
        <f>SUM(D904)</f>
        <v>0</v>
      </c>
      <c r="E903" s="359">
        <f>SUM(E904)</f>
        <v>0</v>
      </c>
      <c r="F903" s="561" t="e">
        <f t="shared" si="52"/>
        <v>#DIV/0!</v>
      </c>
      <c r="G903" s="576"/>
    </row>
    <row r="904" spans="1:7" s="275" customFormat="1" ht="18" customHeight="1" hidden="1">
      <c r="A904" s="562"/>
      <c r="B904" s="574"/>
      <c r="C904" s="575" t="s">
        <v>976</v>
      </c>
      <c r="D904" s="563">
        <f>SUM(D905,D906)</f>
        <v>0</v>
      </c>
      <c r="E904" s="563">
        <f>SUM(E905,E906)</f>
        <v>0</v>
      </c>
      <c r="F904" s="564" t="e">
        <f t="shared" si="52"/>
        <v>#DIV/0!</v>
      </c>
      <c r="G904" s="568"/>
    </row>
    <row r="905" spans="1:7" s="275" customFormat="1" ht="18" customHeight="1" hidden="1">
      <c r="A905" s="562"/>
      <c r="B905" s="574"/>
      <c r="C905" s="578" t="s">
        <v>1096</v>
      </c>
      <c r="D905" s="563">
        <v>0</v>
      </c>
      <c r="E905" s="563">
        <v>0</v>
      </c>
      <c r="F905" s="1390" t="s">
        <v>799</v>
      </c>
      <c r="G905" s="568"/>
    </row>
    <row r="906" spans="1:7" s="569" customFormat="1" ht="18.75" customHeight="1" hidden="1">
      <c r="A906" s="565"/>
      <c r="B906" s="577"/>
      <c r="C906" s="578" t="s">
        <v>977</v>
      </c>
      <c r="D906" s="579">
        <v>0</v>
      </c>
      <c r="E906" s="579">
        <v>0</v>
      </c>
      <c r="F906" s="580" t="e">
        <f t="shared" si="52"/>
        <v>#DIV/0!</v>
      </c>
      <c r="G906" s="568"/>
    </row>
    <row r="907" spans="1:8" s="590" customFormat="1" ht="18.75" customHeight="1">
      <c r="A907" s="587" t="s">
        <v>440</v>
      </c>
      <c r="B907" s="554"/>
      <c r="C907" s="555" t="s">
        <v>522</v>
      </c>
      <c r="D907" s="556">
        <f>SUM(D908,D915,D921,D929,D934,D939,D944)</f>
        <v>909287</v>
      </c>
      <c r="E907" s="556">
        <f>SUM(E908,E915,E921,E929,E934,E939,E944)</f>
        <v>386883.63000000006</v>
      </c>
      <c r="F907" s="557">
        <f t="shared" si="52"/>
        <v>42.548021691721104</v>
      </c>
      <c r="G907" s="568"/>
      <c r="H907" s="275"/>
    </row>
    <row r="908" spans="1:7" s="2" customFormat="1" ht="18.75" customHeight="1" hidden="1">
      <c r="A908" s="586"/>
      <c r="B908" s="570" t="s">
        <v>441</v>
      </c>
      <c r="C908" s="571" t="s">
        <v>523</v>
      </c>
      <c r="D908" s="364">
        <f>SUM(D909)</f>
        <v>0</v>
      </c>
      <c r="E908" s="364">
        <f>SUM(E909)</f>
        <v>0</v>
      </c>
      <c r="F908" s="559" t="e">
        <f t="shared" si="52"/>
        <v>#DIV/0!</v>
      </c>
      <c r="G908" s="1"/>
    </row>
    <row r="909" spans="1:7" s="363" customFormat="1" ht="18.75" customHeight="1" hidden="1">
      <c r="A909" s="560"/>
      <c r="B909" s="572"/>
      <c r="C909" s="573" t="s">
        <v>838</v>
      </c>
      <c r="D909" s="359">
        <f>SUM(D910,D913,D914)</f>
        <v>0</v>
      </c>
      <c r="E909" s="359">
        <f>SUM(E910,E913,E914)</f>
        <v>0</v>
      </c>
      <c r="F909" s="561" t="e">
        <f t="shared" si="52"/>
        <v>#DIV/0!</v>
      </c>
      <c r="G909" s="576"/>
    </row>
    <row r="910" spans="1:7" s="275" customFormat="1" ht="18" customHeight="1" hidden="1">
      <c r="A910" s="562"/>
      <c r="B910" s="574"/>
      <c r="C910" s="575" t="s">
        <v>976</v>
      </c>
      <c r="D910" s="563">
        <f>SUM(D911,D912)</f>
        <v>0</v>
      </c>
      <c r="E910" s="563">
        <f>SUM(E911,E912)</f>
        <v>0</v>
      </c>
      <c r="F910" s="564" t="e">
        <f aca="true" t="shared" si="53" ref="F910:F943">E910/D910*100</f>
        <v>#DIV/0!</v>
      </c>
      <c r="G910" s="568"/>
    </row>
    <row r="911" spans="1:7" s="569" customFormat="1" ht="18.75" customHeight="1" hidden="1">
      <c r="A911" s="565"/>
      <c r="B911" s="577"/>
      <c r="C911" s="578" t="s">
        <v>1096</v>
      </c>
      <c r="D911" s="579">
        <v>0</v>
      </c>
      <c r="E911" s="579">
        <v>0</v>
      </c>
      <c r="F911" s="580" t="e">
        <f t="shared" si="53"/>
        <v>#DIV/0!</v>
      </c>
      <c r="G911" s="568"/>
    </row>
    <row r="912" spans="1:7" s="569" customFormat="1" ht="18.75" customHeight="1" hidden="1">
      <c r="A912" s="565"/>
      <c r="B912" s="577"/>
      <c r="C912" s="578" t="s">
        <v>977</v>
      </c>
      <c r="D912" s="579">
        <v>0</v>
      </c>
      <c r="E912" s="579">
        <v>0</v>
      </c>
      <c r="F912" s="580" t="e">
        <f t="shared" si="53"/>
        <v>#DIV/0!</v>
      </c>
      <c r="G912" s="568"/>
    </row>
    <row r="913" spans="1:7" s="275" customFormat="1" ht="18.75" customHeight="1" hidden="1">
      <c r="A913" s="583"/>
      <c r="B913" s="574"/>
      <c r="C913" s="575" t="s">
        <v>978</v>
      </c>
      <c r="D913" s="563">
        <v>0</v>
      </c>
      <c r="E913" s="563">
        <v>0</v>
      </c>
      <c r="F913" s="564" t="e">
        <f t="shared" si="53"/>
        <v>#DIV/0!</v>
      </c>
      <c r="G913" s="584"/>
    </row>
    <row r="914" spans="1:7" s="275" customFormat="1" ht="18.75" customHeight="1" hidden="1">
      <c r="A914" s="583"/>
      <c r="B914" s="574"/>
      <c r="C914" s="582" t="s">
        <v>982</v>
      </c>
      <c r="D914" s="563">
        <v>0</v>
      </c>
      <c r="E914" s="563">
        <v>0</v>
      </c>
      <c r="F914" s="564" t="e">
        <f t="shared" si="53"/>
        <v>#DIV/0!</v>
      </c>
      <c r="G914" s="568"/>
    </row>
    <row r="915" spans="1:7" s="275" customFormat="1" ht="18.75" customHeight="1" hidden="1">
      <c r="A915" s="586"/>
      <c r="B915" s="570" t="s">
        <v>452</v>
      </c>
      <c r="C915" s="571" t="s">
        <v>319</v>
      </c>
      <c r="D915" s="364">
        <f>SUM(D916,D919)</f>
        <v>0</v>
      </c>
      <c r="E915" s="364">
        <f>SUM(E916,E919)</f>
        <v>0</v>
      </c>
      <c r="F915" s="559" t="e">
        <f t="shared" si="53"/>
        <v>#DIV/0!</v>
      </c>
      <c r="G915" s="568"/>
    </row>
    <row r="916" spans="1:7" s="363" customFormat="1" ht="18.75" customHeight="1" hidden="1">
      <c r="A916" s="560"/>
      <c r="B916" s="572"/>
      <c r="C916" s="573" t="s">
        <v>838</v>
      </c>
      <c r="D916" s="359">
        <f>SUM(D917)</f>
        <v>0</v>
      </c>
      <c r="E916" s="359">
        <f>SUM(E917)</f>
        <v>0</v>
      </c>
      <c r="F916" s="561" t="e">
        <f t="shared" si="53"/>
        <v>#DIV/0!</v>
      </c>
      <c r="G916" s="576"/>
    </row>
    <row r="917" spans="1:7" s="275" customFormat="1" ht="18" customHeight="1" hidden="1">
      <c r="A917" s="562"/>
      <c r="B917" s="574"/>
      <c r="C917" s="575" t="s">
        <v>976</v>
      </c>
      <c r="D917" s="563">
        <f>SUM(D918)</f>
        <v>0</v>
      </c>
      <c r="E917" s="563">
        <f>SUM(E918)</f>
        <v>0</v>
      </c>
      <c r="F917" s="564" t="e">
        <f t="shared" si="53"/>
        <v>#DIV/0!</v>
      </c>
      <c r="G917" s="568"/>
    </row>
    <row r="918" spans="1:7" s="569" customFormat="1" ht="18.75" customHeight="1" hidden="1">
      <c r="A918" s="565"/>
      <c r="B918" s="577"/>
      <c r="C918" s="578" t="s">
        <v>977</v>
      </c>
      <c r="D918" s="579">
        <v>0</v>
      </c>
      <c r="E918" s="579">
        <v>0</v>
      </c>
      <c r="F918" s="580" t="e">
        <f t="shared" si="53"/>
        <v>#DIV/0!</v>
      </c>
      <c r="G918" s="568"/>
    </row>
    <row r="919" spans="1:7" s="363" customFormat="1" ht="18.75" customHeight="1" hidden="1">
      <c r="A919" s="560"/>
      <c r="B919" s="572"/>
      <c r="C919" s="573" t="s">
        <v>979</v>
      </c>
      <c r="D919" s="359">
        <f>SUM(D920)</f>
        <v>0</v>
      </c>
      <c r="E919" s="359">
        <f>SUM(E920)</f>
        <v>0</v>
      </c>
      <c r="F919" s="561" t="e">
        <f t="shared" si="53"/>
        <v>#DIV/0!</v>
      </c>
      <c r="G919" s="576"/>
    </row>
    <row r="920" spans="1:7" s="275" customFormat="1" ht="18.75" customHeight="1" hidden="1">
      <c r="A920" s="562"/>
      <c r="B920" s="574"/>
      <c r="C920" s="575" t="s">
        <v>980</v>
      </c>
      <c r="D920" s="563">
        <v>0</v>
      </c>
      <c r="E920" s="563">
        <v>0</v>
      </c>
      <c r="F920" s="564" t="e">
        <f>E920/D920*100</f>
        <v>#DIV/0!</v>
      </c>
      <c r="G920" s="584"/>
    </row>
    <row r="921" spans="1:8" s="590" customFormat="1" ht="18.75" customHeight="1" hidden="1">
      <c r="A921" s="586"/>
      <c r="B921" s="570" t="s">
        <v>526</v>
      </c>
      <c r="C921" s="571" t="s">
        <v>527</v>
      </c>
      <c r="D921" s="364">
        <f>D922</f>
        <v>0</v>
      </c>
      <c r="E921" s="364">
        <f>E922</f>
        <v>0</v>
      </c>
      <c r="F921" s="559" t="e">
        <f t="shared" si="53"/>
        <v>#DIV/0!</v>
      </c>
      <c r="G921" s="568"/>
      <c r="H921" s="275"/>
    </row>
    <row r="922" spans="1:7" s="363" customFormat="1" ht="18.75" customHeight="1" hidden="1">
      <c r="A922" s="560"/>
      <c r="B922" s="572"/>
      <c r="C922" s="573" t="s">
        <v>838</v>
      </c>
      <c r="D922" s="359">
        <f>SUM(D923,D926,D927,D928)</f>
        <v>0</v>
      </c>
      <c r="E922" s="359">
        <f>SUM(E923,E926,E927,E928)</f>
        <v>0</v>
      </c>
      <c r="F922" s="561" t="e">
        <f t="shared" si="53"/>
        <v>#DIV/0!</v>
      </c>
      <c r="G922" s="576"/>
    </row>
    <row r="923" spans="1:7" s="275" customFormat="1" ht="18" customHeight="1" hidden="1">
      <c r="A923" s="562"/>
      <c r="B923" s="574"/>
      <c r="C923" s="575" t="s">
        <v>976</v>
      </c>
      <c r="D923" s="563">
        <f>SUM(D924,D925)</f>
        <v>0</v>
      </c>
      <c r="E923" s="563">
        <f>SUM(E924,E925)</f>
        <v>0</v>
      </c>
      <c r="F923" s="564" t="e">
        <f t="shared" si="53"/>
        <v>#DIV/0!</v>
      </c>
      <c r="G923" s="568"/>
    </row>
    <row r="924" spans="1:7" s="569" customFormat="1" ht="18.75" customHeight="1" hidden="1">
      <c r="A924" s="565"/>
      <c r="B924" s="577"/>
      <c r="C924" s="578" t="s">
        <v>1096</v>
      </c>
      <c r="D924" s="579">
        <v>0</v>
      </c>
      <c r="E924" s="579">
        <v>0</v>
      </c>
      <c r="F924" s="580" t="e">
        <f t="shared" si="53"/>
        <v>#DIV/0!</v>
      </c>
      <c r="G924" s="568"/>
    </row>
    <row r="925" spans="1:7" s="569" customFormat="1" ht="18.75" customHeight="1" hidden="1">
      <c r="A925" s="565"/>
      <c r="B925" s="577"/>
      <c r="C925" s="578" t="s">
        <v>977</v>
      </c>
      <c r="D925" s="579">
        <v>0</v>
      </c>
      <c r="E925" s="579">
        <v>0</v>
      </c>
      <c r="F925" s="580" t="e">
        <f>E925/D925*100</f>
        <v>#DIV/0!</v>
      </c>
      <c r="G925" s="568"/>
    </row>
    <row r="926" spans="1:7" s="275" customFormat="1" ht="18.75" customHeight="1" hidden="1">
      <c r="A926" s="583"/>
      <c r="B926" s="574"/>
      <c r="C926" s="575" t="s">
        <v>978</v>
      </c>
      <c r="D926" s="563">
        <v>0</v>
      </c>
      <c r="E926" s="563">
        <v>0</v>
      </c>
      <c r="F926" s="564" t="e">
        <f t="shared" si="53"/>
        <v>#DIV/0!</v>
      </c>
      <c r="G926" s="584"/>
    </row>
    <row r="927" spans="1:7" s="275" customFormat="1" ht="18.75" customHeight="1" hidden="1">
      <c r="A927" s="583"/>
      <c r="B927" s="574"/>
      <c r="C927" s="582" t="s">
        <v>982</v>
      </c>
      <c r="D927" s="563">
        <v>0</v>
      </c>
      <c r="E927" s="563">
        <v>0</v>
      </c>
      <c r="F927" s="564" t="e">
        <f t="shared" si="53"/>
        <v>#DIV/0!</v>
      </c>
      <c r="G927" s="568"/>
    </row>
    <row r="928" spans="1:7" s="275" customFormat="1" ht="18.75" customHeight="1" hidden="1">
      <c r="A928" s="583"/>
      <c r="B928" s="574"/>
      <c r="C928" s="582" t="s">
        <v>989</v>
      </c>
      <c r="D928" s="563">
        <v>0</v>
      </c>
      <c r="E928" s="563">
        <v>0</v>
      </c>
      <c r="F928" s="564" t="e">
        <f>E928/D928*100</f>
        <v>#DIV/0!</v>
      </c>
      <c r="G928" s="568"/>
    </row>
    <row r="929" spans="1:6" ht="28.5" customHeight="1">
      <c r="A929" s="586"/>
      <c r="B929" s="570" t="s">
        <v>416</v>
      </c>
      <c r="C929" s="376" t="s">
        <v>987</v>
      </c>
      <c r="D929" s="364">
        <f>SUM(D930)</f>
        <v>379268</v>
      </c>
      <c r="E929" s="364">
        <f>SUM(E930)</f>
        <v>174286.6</v>
      </c>
      <c r="F929" s="559">
        <f t="shared" si="53"/>
        <v>45.953415526751535</v>
      </c>
    </row>
    <row r="930" spans="1:7" s="363" customFormat="1" ht="18.75" customHeight="1">
      <c r="A930" s="560"/>
      <c r="B930" s="572"/>
      <c r="C930" s="573" t="s">
        <v>838</v>
      </c>
      <c r="D930" s="359">
        <f>SUM(D931)</f>
        <v>379268</v>
      </c>
      <c r="E930" s="359">
        <f>SUM(E931)</f>
        <v>174286.6</v>
      </c>
      <c r="F930" s="561">
        <f t="shared" si="53"/>
        <v>45.953415526751535</v>
      </c>
      <c r="G930" s="576"/>
    </row>
    <row r="931" spans="1:7" s="275" customFormat="1" ht="18" customHeight="1">
      <c r="A931" s="562"/>
      <c r="B931" s="574"/>
      <c r="C931" s="575" t="s">
        <v>976</v>
      </c>
      <c r="D931" s="563">
        <f>SUM(D932,D933)</f>
        <v>379268</v>
      </c>
      <c r="E931" s="563">
        <f>SUM(E932,E933)</f>
        <v>174286.6</v>
      </c>
      <c r="F931" s="564">
        <f t="shared" si="53"/>
        <v>45.953415526751535</v>
      </c>
      <c r="G931" s="568"/>
    </row>
    <row r="932" spans="1:7" s="569" customFormat="1" ht="18.75" customHeight="1">
      <c r="A932" s="565"/>
      <c r="B932" s="577"/>
      <c r="C932" s="578" t="s">
        <v>1096</v>
      </c>
      <c r="D932" s="579">
        <v>268712</v>
      </c>
      <c r="E932" s="579">
        <v>130987.61</v>
      </c>
      <c r="F932" s="580">
        <f t="shared" si="53"/>
        <v>48.746468337848704</v>
      </c>
      <c r="G932" s="568"/>
    </row>
    <row r="933" spans="1:7" s="569" customFormat="1" ht="18.75" customHeight="1">
      <c r="A933" s="565"/>
      <c r="B933" s="577"/>
      <c r="C933" s="578" t="s">
        <v>977</v>
      </c>
      <c r="D933" s="579">
        <v>110556</v>
      </c>
      <c r="E933" s="579">
        <v>43298.99</v>
      </c>
      <c r="F933" s="580">
        <f t="shared" si="53"/>
        <v>39.1647581316256</v>
      </c>
      <c r="G933" s="568"/>
    </row>
    <row r="934" spans="1:7" s="275" customFormat="1" ht="18.75" customHeight="1">
      <c r="A934" s="586"/>
      <c r="B934" s="570" t="s">
        <v>528</v>
      </c>
      <c r="C934" s="585" t="s">
        <v>529</v>
      </c>
      <c r="D934" s="364">
        <f>D935</f>
        <v>462775</v>
      </c>
      <c r="E934" s="364">
        <f>E935</f>
        <v>203221.08000000002</v>
      </c>
      <c r="F934" s="559">
        <f t="shared" si="53"/>
        <v>43.91358219437092</v>
      </c>
      <c r="G934" s="568"/>
    </row>
    <row r="935" spans="1:7" s="363" customFormat="1" ht="18.75" customHeight="1">
      <c r="A935" s="560"/>
      <c r="B935" s="572"/>
      <c r="C935" s="573" t="s">
        <v>838</v>
      </c>
      <c r="D935" s="359">
        <f>SUM(D936)</f>
        <v>462775</v>
      </c>
      <c r="E935" s="359">
        <f>SUM(E936)</f>
        <v>203221.08000000002</v>
      </c>
      <c r="F935" s="561">
        <f t="shared" si="53"/>
        <v>43.91358219437092</v>
      </c>
      <c r="G935" s="576"/>
    </row>
    <row r="936" spans="1:7" s="275" customFormat="1" ht="18" customHeight="1">
      <c r="A936" s="562"/>
      <c r="B936" s="574"/>
      <c r="C936" s="575" t="s">
        <v>976</v>
      </c>
      <c r="D936" s="563">
        <f>SUM(D937,D938)</f>
        <v>462775</v>
      </c>
      <c r="E936" s="563">
        <f>SUM(E937,E938)</f>
        <v>203221.08000000002</v>
      </c>
      <c r="F936" s="564">
        <f t="shared" si="53"/>
        <v>43.91358219437092</v>
      </c>
      <c r="G936" s="568"/>
    </row>
    <row r="937" spans="1:7" s="569" customFormat="1" ht="18.75" customHeight="1">
      <c r="A937" s="565"/>
      <c r="B937" s="577"/>
      <c r="C937" s="578" t="s">
        <v>1096</v>
      </c>
      <c r="D937" s="579">
        <v>366404</v>
      </c>
      <c r="E937" s="579">
        <v>167874.41</v>
      </c>
      <c r="F937" s="580">
        <f t="shared" si="53"/>
        <v>45.816751454678446</v>
      </c>
      <c r="G937" s="568"/>
    </row>
    <row r="938" spans="1:7" s="569" customFormat="1" ht="18.75" customHeight="1">
      <c r="A938" s="565"/>
      <c r="B938" s="577"/>
      <c r="C938" s="578" t="s">
        <v>977</v>
      </c>
      <c r="D938" s="579">
        <v>96371</v>
      </c>
      <c r="E938" s="579">
        <v>35346.67</v>
      </c>
      <c r="F938" s="580">
        <f t="shared" si="53"/>
        <v>36.67770387357192</v>
      </c>
      <c r="G938" s="568"/>
    </row>
    <row r="939" spans="1:7" s="275" customFormat="1" ht="42.75" customHeight="1">
      <c r="A939" s="586"/>
      <c r="B939" s="570" t="s">
        <v>495</v>
      </c>
      <c r="C939" s="594" t="s">
        <v>496</v>
      </c>
      <c r="D939" s="364">
        <f>SUM(D940)</f>
        <v>25839</v>
      </c>
      <c r="E939" s="364">
        <f>SUM(E940)</f>
        <v>9375.95</v>
      </c>
      <c r="F939" s="559">
        <f t="shared" si="53"/>
        <v>36.28604048144278</v>
      </c>
      <c r="G939" s="568"/>
    </row>
    <row r="940" spans="1:7" s="363" customFormat="1" ht="18.75" customHeight="1">
      <c r="A940" s="560"/>
      <c r="B940" s="572"/>
      <c r="C940" s="573" t="s">
        <v>838</v>
      </c>
      <c r="D940" s="359">
        <f>SUM(D941)</f>
        <v>25839</v>
      </c>
      <c r="E940" s="359">
        <f>SUM(E941)</f>
        <v>9375.95</v>
      </c>
      <c r="F940" s="561">
        <f t="shared" si="53"/>
        <v>36.28604048144278</v>
      </c>
      <c r="G940" s="576"/>
    </row>
    <row r="941" spans="1:7" s="275" customFormat="1" ht="18" customHeight="1">
      <c r="A941" s="562"/>
      <c r="B941" s="574"/>
      <c r="C941" s="575" t="s">
        <v>976</v>
      </c>
      <c r="D941" s="563">
        <f>SUM(D942,D943)</f>
        <v>25839</v>
      </c>
      <c r="E941" s="563">
        <f>SUM(E942,E943)</f>
        <v>9375.95</v>
      </c>
      <c r="F941" s="564">
        <f t="shared" si="53"/>
        <v>36.28604048144278</v>
      </c>
      <c r="G941" s="568"/>
    </row>
    <row r="942" spans="1:7" s="569" customFormat="1" ht="18.75" customHeight="1">
      <c r="A942" s="565"/>
      <c r="B942" s="577"/>
      <c r="C942" s="578" t="s">
        <v>1096</v>
      </c>
      <c r="D942" s="579">
        <v>1795</v>
      </c>
      <c r="E942" s="579">
        <v>0</v>
      </c>
      <c r="F942" s="580">
        <f t="shared" si="53"/>
        <v>0</v>
      </c>
      <c r="G942" s="568"/>
    </row>
    <row r="943" spans="1:7" s="569" customFormat="1" ht="18.75" customHeight="1">
      <c r="A943" s="565"/>
      <c r="B943" s="577"/>
      <c r="C943" s="578" t="s">
        <v>977</v>
      </c>
      <c r="D943" s="579">
        <v>24044</v>
      </c>
      <c r="E943" s="579">
        <v>9375.95</v>
      </c>
      <c r="F943" s="580">
        <f t="shared" si="53"/>
        <v>38.994967559474304</v>
      </c>
      <c r="G943" s="568"/>
    </row>
    <row r="944" spans="1:7" s="275" customFormat="1" ht="18.75" customHeight="1">
      <c r="A944" s="586"/>
      <c r="B944" s="570" t="s">
        <v>450</v>
      </c>
      <c r="C944" s="571" t="s">
        <v>176</v>
      </c>
      <c r="D944" s="364">
        <f>SUM(D945)</f>
        <v>41405</v>
      </c>
      <c r="E944" s="364">
        <f>SUM(E945)</f>
        <v>0</v>
      </c>
      <c r="F944" s="559">
        <f aca="true" t="shared" si="54" ref="F944:F951">E944/D944*100</f>
        <v>0</v>
      </c>
      <c r="G944" s="568"/>
    </row>
    <row r="945" spans="1:7" s="363" customFormat="1" ht="18.75" customHeight="1">
      <c r="A945" s="560"/>
      <c r="B945" s="572"/>
      <c r="C945" s="573" t="s">
        <v>838</v>
      </c>
      <c r="D945" s="359">
        <f>SUM(D946,D949)</f>
        <v>41405</v>
      </c>
      <c r="E945" s="359">
        <f>SUM(E946,E949)</f>
        <v>0</v>
      </c>
      <c r="F945" s="561">
        <f t="shared" si="54"/>
        <v>0</v>
      </c>
      <c r="G945" s="576"/>
    </row>
    <row r="946" spans="1:7" s="275" customFormat="1" ht="18" customHeight="1">
      <c r="A946" s="562"/>
      <c r="B946" s="574"/>
      <c r="C946" s="575" t="s">
        <v>976</v>
      </c>
      <c r="D946" s="563">
        <f>SUM(D947,D948)</f>
        <v>8600</v>
      </c>
      <c r="E946" s="563">
        <f>SUM(E947,E948)</f>
        <v>0</v>
      </c>
      <c r="F946" s="564">
        <f>E946/D946*100</f>
        <v>0</v>
      </c>
      <c r="G946" s="568"/>
    </row>
    <row r="947" spans="1:7" s="569" customFormat="1" ht="18.75" customHeight="1" hidden="1">
      <c r="A947" s="565"/>
      <c r="B947" s="577"/>
      <c r="C947" s="578" t="s">
        <v>1096</v>
      </c>
      <c r="D947" s="579">
        <v>0</v>
      </c>
      <c r="E947" s="579">
        <v>0</v>
      </c>
      <c r="F947" s="580" t="e">
        <f>E947/D947*100</f>
        <v>#DIV/0!</v>
      </c>
      <c r="G947" s="568"/>
    </row>
    <row r="948" spans="1:7" s="569" customFormat="1" ht="18.75" customHeight="1">
      <c r="A948" s="565"/>
      <c r="B948" s="577"/>
      <c r="C948" s="578" t="s">
        <v>977</v>
      </c>
      <c r="D948" s="579">
        <v>8600</v>
      </c>
      <c r="E948" s="579">
        <v>0</v>
      </c>
      <c r="F948" s="580">
        <f>E948/D948*100</f>
        <v>0</v>
      </c>
      <c r="G948" s="568"/>
    </row>
    <row r="949" spans="1:7" s="275" customFormat="1" ht="18.75" customHeight="1">
      <c r="A949" s="583"/>
      <c r="B949" s="574"/>
      <c r="C949" s="582" t="s">
        <v>982</v>
      </c>
      <c r="D949" s="563">
        <v>32805</v>
      </c>
      <c r="E949" s="563">
        <v>0</v>
      </c>
      <c r="F949" s="564">
        <f>E949/D949*100</f>
        <v>0</v>
      </c>
      <c r="G949" s="568"/>
    </row>
    <row r="950" spans="1:7" s="275" customFormat="1" ht="27" customHeight="1">
      <c r="A950" s="587" t="s">
        <v>25</v>
      </c>
      <c r="B950" s="554"/>
      <c r="C950" s="589" t="s">
        <v>710</v>
      </c>
      <c r="D950" s="556">
        <f>SUM(D951,D954,D959,D964,D972,D976)</f>
        <v>1325775</v>
      </c>
      <c r="E950" s="556">
        <f>SUM(E951,E954,E959,E964,E972,E976)</f>
        <v>618979.86</v>
      </c>
      <c r="F950" s="557">
        <f t="shared" si="54"/>
        <v>46.68815296713243</v>
      </c>
      <c r="G950" s="568"/>
    </row>
    <row r="951" spans="1:7" s="275" customFormat="1" ht="30.75" customHeight="1">
      <c r="A951" s="586"/>
      <c r="B951" s="570" t="s">
        <v>1063</v>
      </c>
      <c r="C951" s="376" t="s">
        <v>1066</v>
      </c>
      <c r="D951" s="364">
        <f>SUM(D952)</f>
        <v>44434</v>
      </c>
      <c r="E951" s="364">
        <f>SUM(E952)</f>
        <v>14811.11</v>
      </c>
      <c r="F951" s="559">
        <f t="shared" si="54"/>
        <v>33.33283071521807</v>
      </c>
      <c r="G951" s="568"/>
    </row>
    <row r="952" spans="1:7" s="363" customFormat="1" ht="18.75" customHeight="1">
      <c r="A952" s="560"/>
      <c r="B952" s="572"/>
      <c r="C952" s="573" t="s">
        <v>838</v>
      </c>
      <c r="D952" s="359">
        <f>SUM(D953)</f>
        <v>44434</v>
      </c>
      <c r="E952" s="359">
        <f>SUM(E953)</f>
        <v>14811.11</v>
      </c>
      <c r="F952" s="561">
        <f aca="true" t="shared" si="55" ref="F952:F971">E952/D952*100</f>
        <v>33.33283071521807</v>
      </c>
      <c r="G952" s="576"/>
    </row>
    <row r="953" spans="1:7" s="275" customFormat="1" ht="17.25" customHeight="1">
      <c r="A953" s="562"/>
      <c r="B953" s="574"/>
      <c r="C953" s="575" t="s">
        <v>978</v>
      </c>
      <c r="D953" s="563">
        <v>44434</v>
      </c>
      <c r="E953" s="563">
        <v>14811.11</v>
      </c>
      <c r="F953" s="564">
        <f t="shared" si="55"/>
        <v>33.33283071521807</v>
      </c>
      <c r="G953" s="568"/>
    </row>
    <row r="954" spans="1:7" s="275" customFormat="1" ht="18.75" customHeight="1" hidden="1">
      <c r="A954" s="586"/>
      <c r="B954" s="570" t="s">
        <v>33</v>
      </c>
      <c r="C954" s="595" t="s">
        <v>324</v>
      </c>
      <c r="D954" s="596">
        <f>D955</f>
        <v>0</v>
      </c>
      <c r="E954" s="596">
        <f>E955</f>
        <v>0</v>
      </c>
      <c r="F954" s="559" t="e">
        <f t="shared" si="55"/>
        <v>#DIV/0!</v>
      </c>
      <c r="G954" s="568"/>
    </row>
    <row r="955" spans="1:7" s="363" customFormat="1" ht="18.75" customHeight="1" hidden="1">
      <c r="A955" s="560"/>
      <c r="B955" s="572"/>
      <c r="C955" s="573" t="s">
        <v>838</v>
      </c>
      <c r="D955" s="359">
        <f>SUM(D956,D958)</f>
        <v>0</v>
      </c>
      <c r="E955" s="359">
        <f>SUM(E956,E958)</f>
        <v>0</v>
      </c>
      <c r="F955" s="561" t="e">
        <f t="shared" si="55"/>
        <v>#DIV/0!</v>
      </c>
      <c r="G955" s="576"/>
    </row>
    <row r="956" spans="1:7" s="275" customFormat="1" ht="18" customHeight="1" hidden="1">
      <c r="A956" s="562"/>
      <c r="B956" s="574"/>
      <c r="C956" s="575" t="s">
        <v>976</v>
      </c>
      <c r="D956" s="563">
        <f>SUM(D957)</f>
        <v>0</v>
      </c>
      <c r="E956" s="563">
        <f>SUM(E957)</f>
        <v>0</v>
      </c>
      <c r="F956" s="564" t="e">
        <f>E956/D956*100</f>
        <v>#DIV/0!</v>
      </c>
      <c r="G956" s="1483"/>
    </row>
    <row r="957" spans="1:7" s="569" customFormat="1" ht="18.75" customHeight="1" hidden="1">
      <c r="A957" s="565"/>
      <c r="B957" s="577"/>
      <c r="C957" s="578" t="s">
        <v>977</v>
      </c>
      <c r="D957" s="579">
        <v>0</v>
      </c>
      <c r="E957" s="579">
        <v>0</v>
      </c>
      <c r="F957" s="580" t="e">
        <f>E957/D957*100</f>
        <v>#DIV/0!</v>
      </c>
      <c r="G957" s="1483"/>
    </row>
    <row r="958" spans="1:7" s="275" customFormat="1" ht="18" customHeight="1" hidden="1">
      <c r="A958" s="562"/>
      <c r="B958" s="574"/>
      <c r="C958" s="575" t="s">
        <v>978</v>
      </c>
      <c r="D958" s="563">
        <v>0</v>
      </c>
      <c r="E958" s="563">
        <v>0</v>
      </c>
      <c r="F958" s="564" t="e">
        <f t="shared" si="55"/>
        <v>#DIV/0!</v>
      </c>
      <c r="G958" s="568"/>
    </row>
    <row r="959" spans="1:7" s="275" customFormat="1" ht="25.5" customHeight="1">
      <c r="A959" s="586"/>
      <c r="B959" s="570" t="s">
        <v>1058</v>
      </c>
      <c r="C959" s="376" t="s">
        <v>1059</v>
      </c>
      <c r="D959" s="364">
        <f>SUM(D960)</f>
        <v>46815</v>
      </c>
      <c r="E959" s="364">
        <f>SUM(E960)</f>
        <v>23345.45</v>
      </c>
      <c r="F959" s="559">
        <f t="shared" si="55"/>
        <v>49.86745701164157</v>
      </c>
      <c r="G959" s="568"/>
    </row>
    <row r="960" spans="1:7" s="363" customFormat="1" ht="18.75" customHeight="1">
      <c r="A960" s="560"/>
      <c r="B960" s="572"/>
      <c r="C960" s="573" t="s">
        <v>838</v>
      </c>
      <c r="D960" s="359">
        <f>SUM(D961)</f>
        <v>46815</v>
      </c>
      <c r="E960" s="359">
        <f>SUM(E961)</f>
        <v>23345.45</v>
      </c>
      <c r="F960" s="561">
        <f t="shared" si="55"/>
        <v>49.86745701164157</v>
      </c>
      <c r="G960" s="576"/>
    </row>
    <row r="961" spans="1:7" s="275" customFormat="1" ht="18" customHeight="1">
      <c r="A961" s="562"/>
      <c r="B961" s="574"/>
      <c r="C961" s="575" t="s">
        <v>976</v>
      </c>
      <c r="D961" s="563">
        <f>SUM(D962,D963)</f>
        <v>46815</v>
      </c>
      <c r="E961" s="563">
        <f>SUM(E962,E963)</f>
        <v>23345.45</v>
      </c>
      <c r="F961" s="564">
        <f t="shared" si="55"/>
        <v>49.86745701164157</v>
      </c>
      <c r="G961" s="568"/>
    </row>
    <row r="962" spans="1:7" s="569" customFormat="1" ht="18.75" customHeight="1">
      <c r="A962" s="565"/>
      <c r="B962" s="577"/>
      <c r="C962" s="578" t="s">
        <v>1096</v>
      </c>
      <c r="D962" s="579">
        <v>43937</v>
      </c>
      <c r="E962" s="579">
        <v>21547.11</v>
      </c>
      <c r="F962" s="580">
        <f t="shared" si="55"/>
        <v>49.04092222955595</v>
      </c>
      <c r="G962" s="568"/>
    </row>
    <row r="963" spans="1:7" s="569" customFormat="1" ht="18.75" customHeight="1">
      <c r="A963" s="565"/>
      <c r="B963" s="577"/>
      <c r="C963" s="578" t="s">
        <v>977</v>
      </c>
      <c r="D963" s="579">
        <v>2878</v>
      </c>
      <c r="E963" s="579">
        <v>1798.34</v>
      </c>
      <c r="F963" s="580">
        <f t="shared" si="55"/>
        <v>62.48575399583044</v>
      </c>
      <c r="G963" s="568"/>
    </row>
    <row r="964" spans="1:7" s="275" customFormat="1" ht="18.75" customHeight="1">
      <c r="A964" s="586"/>
      <c r="B964" s="570" t="s">
        <v>712</v>
      </c>
      <c r="C964" s="571" t="s">
        <v>713</v>
      </c>
      <c r="D964" s="364">
        <f>SUM(D965,D970)</f>
        <v>1196378</v>
      </c>
      <c r="E964" s="364">
        <f>SUM(E965,E970)</f>
        <v>545675.37</v>
      </c>
      <c r="F964" s="559">
        <f t="shared" si="55"/>
        <v>45.610615541241984</v>
      </c>
      <c r="G964" s="568"/>
    </row>
    <row r="965" spans="1:7" s="363" customFormat="1" ht="18.75" customHeight="1">
      <c r="A965" s="560"/>
      <c r="B965" s="572"/>
      <c r="C965" s="573" t="s">
        <v>838</v>
      </c>
      <c r="D965" s="359">
        <f>SUM(D966,D969)</f>
        <v>1196378</v>
      </c>
      <c r="E965" s="359">
        <f>SUM(E966,E969)</f>
        <v>545675.37</v>
      </c>
      <c r="F965" s="561">
        <f t="shared" si="55"/>
        <v>45.610615541241984</v>
      </c>
      <c r="G965" s="576"/>
    </row>
    <row r="966" spans="1:7" s="275" customFormat="1" ht="18" customHeight="1">
      <c r="A966" s="562"/>
      <c r="B966" s="574"/>
      <c r="C966" s="575" t="s">
        <v>976</v>
      </c>
      <c r="D966" s="563">
        <f>SUM(D967,D968)</f>
        <v>1195993</v>
      </c>
      <c r="E966" s="563">
        <f>SUM(E967,E968)</f>
        <v>545415.37</v>
      </c>
      <c r="F966" s="564">
        <f t="shared" si="55"/>
        <v>45.60355871648078</v>
      </c>
      <c r="G966" s="568"/>
    </row>
    <row r="967" spans="1:7" s="569" customFormat="1" ht="18.75" customHeight="1">
      <c r="A967" s="565"/>
      <c r="B967" s="577"/>
      <c r="C967" s="578" t="s">
        <v>1096</v>
      </c>
      <c r="D967" s="579">
        <v>1102340</v>
      </c>
      <c r="E967" s="579">
        <v>491406.5</v>
      </c>
      <c r="F967" s="580">
        <f t="shared" si="55"/>
        <v>44.57848758096413</v>
      </c>
      <c r="G967" s="568"/>
    </row>
    <row r="968" spans="1:7" s="569" customFormat="1" ht="18.75" customHeight="1">
      <c r="A968" s="565"/>
      <c r="B968" s="577"/>
      <c r="C968" s="578" t="s">
        <v>977</v>
      </c>
      <c r="D968" s="579">
        <v>93653</v>
      </c>
      <c r="E968" s="579">
        <v>54008.87</v>
      </c>
      <c r="F968" s="580">
        <f t="shared" si="55"/>
        <v>57.66912965948768</v>
      </c>
      <c r="G968" s="568"/>
    </row>
    <row r="969" spans="1:7" s="275" customFormat="1" ht="18.75" customHeight="1">
      <c r="A969" s="583"/>
      <c r="B969" s="574"/>
      <c r="C969" s="582" t="s">
        <v>982</v>
      </c>
      <c r="D969" s="563">
        <v>385</v>
      </c>
      <c r="E969" s="563">
        <v>260</v>
      </c>
      <c r="F969" s="564">
        <f t="shared" si="55"/>
        <v>67.53246753246754</v>
      </c>
      <c r="G969" s="568"/>
    </row>
    <row r="970" spans="1:7" s="363" customFormat="1" ht="18.75" customHeight="1" hidden="1">
      <c r="A970" s="560"/>
      <c r="B970" s="572"/>
      <c r="C970" s="573" t="s">
        <v>979</v>
      </c>
      <c r="D970" s="359">
        <f>SUM(D971)</f>
        <v>0</v>
      </c>
      <c r="E970" s="359">
        <f>SUM(E971)</f>
        <v>0</v>
      </c>
      <c r="F970" s="561" t="e">
        <f t="shared" si="55"/>
        <v>#DIV/0!</v>
      </c>
      <c r="G970" s="576"/>
    </row>
    <row r="971" spans="1:7" s="275" customFormat="1" ht="28.5" customHeight="1" hidden="1">
      <c r="A971" s="562"/>
      <c r="B971" s="574"/>
      <c r="C971" s="575" t="s">
        <v>251</v>
      </c>
      <c r="D971" s="563">
        <v>0</v>
      </c>
      <c r="E971" s="563">
        <v>0</v>
      </c>
      <c r="F971" s="564" t="e">
        <f t="shared" si="55"/>
        <v>#DIV/0!</v>
      </c>
      <c r="G971" s="584"/>
    </row>
    <row r="972" spans="1:7" s="275" customFormat="1" ht="18.75" customHeight="1" hidden="1">
      <c r="A972" s="586"/>
      <c r="B972" s="570" t="s">
        <v>1010</v>
      </c>
      <c r="C972" s="571" t="s">
        <v>1011</v>
      </c>
      <c r="D972" s="364">
        <f>SUM(D973,D978)</f>
        <v>0</v>
      </c>
      <c r="E972" s="364">
        <f>SUM(E973,E978)</f>
        <v>0</v>
      </c>
      <c r="F972" s="559" t="e">
        <f>E972/D972*100</f>
        <v>#DIV/0!</v>
      </c>
      <c r="G972" s="568"/>
    </row>
    <row r="973" spans="1:7" s="363" customFormat="1" ht="18.75" customHeight="1" hidden="1">
      <c r="A973" s="560"/>
      <c r="B973" s="572"/>
      <c r="C973" s="573" t="s">
        <v>838</v>
      </c>
      <c r="D973" s="359">
        <f>SUM(D974)</f>
        <v>0</v>
      </c>
      <c r="E973" s="359">
        <f>SUM(E974)</f>
        <v>0</v>
      </c>
      <c r="F973" s="561" t="e">
        <f>E973/D973*100</f>
        <v>#DIV/0!</v>
      </c>
      <c r="G973" s="576"/>
    </row>
    <row r="974" spans="1:7" s="275" customFormat="1" ht="18" customHeight="1" hidden="1">
      <c r="A974" s="562"/>
      <c r="B974" s="574"/>
      <c r="C974" s="575" t="s">
        <v>976</v>
      </c>
      <c r="D974" s="563">
        <f>SUM(D975)</f>
        <v>0</v>
      </c>
      <c r="E974" s="563">
        <f>SUM(E975)</f>
        <v>0</v>
      </c>
      <c r="F974" s="564" t="e">
        <f>E974/D974*100</f>
        <v>#DIV/0!</v>
      </c>
      <c r="G974" s="568"/>
    </row>
    <row r="975" spans="1:7" s="275" customFormat="1" ht="28.5" customHeight="1" hidden="1">
      <c r="A975" s="583"/>
      <c r="B975" s="574"/>
      <c r="C975" s="578" t="s">
        <v>977</v>
      </c>
      <c r="D975" s="579">
        <v>0</v>
      </c>
      <c r="E975" s="579">
        <v>0</v>
      </c>
      <c r="F975" s="564" t="e">
        <f>E975/D975*100</f>
        <v>#DIV/0!</v>
      </c>
      <c r="G975" s="584"/>
    </row>
    <row r="976" spans="1:7" s="275" customFormat="1" ht="18" customHeight="1">
      <c r="A976" s="586"/>
      <c r="B976" s="570" t="s">
        <v>714</v>
      </c>
      <c r="C976" s="376" t="s">
        <v>176</v>
      </c>
      <c r="D976" s="364">
        <f>SUM(D977,D983)</f>
        <v>38148</v>
      </c>
      <c r="E976" s="364">
        <f>SUM(E977,E983)</f>
        <v>35147.93</v>
      </c>
      <c r="F976" s="559">
        <f aca="true" t="shared" si="56" ref="F976:F987">E976/D976*100</f>
        <v>92.1357082940128</v>
      </c>
      <c r="G976" s="568"/>
    </row>
    <row r="977" spans="1:7" s="363" customFormat="1" ht="18.75" customHeight="1">
      <c r="A977" s="560"/>
      <c r="B977" s="572"/>
      <c r="C977" s="573" t="s">
        <v>838</v>
      </c>
      <c r="D977" s="359">
        <f>SUM(D978,D981,D982)</f>
        <v>38148</v>
      </c>
      <c r="E977" s="359">
        <f>SUM(E978,E981,E982)</f>
        <v>35147.93</v>
      </c>
      <c r="F977" s="561">
        <f t="shared" si="56"/>
        <v>92.1357082940128</v>
      </c>
      <c r="G977" s="576"/>
    </row>
    <row r="978" spans="1:7" s="275" customFormat="1" ht="18" customHeight="1" hidden="1">
      <c r="A978" s="562"/>
      <c r="B978" s="574"/>
      <c r="C978" s="575" t="s">
        <v>976</v>
      </c>
      <c r="D978" s="563">
        <f>SUM(D979,D980)</f>
        <v>0</v>
      </c>
      <c r="E978" s="563">
        <f>SUM(E979,E980)</f>
        <v>0</v>
      </c>
      <c r="F978" s="564" t="e">
        <f t="shared" si="56"/>
        <v>#DIV/0!</v>
      </c>
      <c r="G978" s="568"/>
    </row>
    <row r="979" spans="1:7" s="569" customFormat="1" ht="20.25" customHeight="1" hidden="1">
      <c r="A979" s="565"/>
      <c r="B979" s="577"/>
      <c r="C979" s="578" t="s">
        <v>1096</v>
      </c>
      <c r="D979" s="579">
        <v>0</v>
      </c>
      <c r="E979" s="579">
        <v>0</v>
      </c>
      <c r="F979" s="580" t="e">
        <f t="shared" si="56"/>
        <v>#DIV/0!</v>
      </c>
      <c r="G979" s="568"/>
    </row>
    <row r="980" spans="1:7" s="569" customFormat="1" ht="20.25" customHeight="1" hidden="1">
      <c r="A980" s="565"/>
      <c r="B980" s="577"/>
      <c r="C980" s="578" t="s">
        <v>977</v>
      </c>
      <c r="D980" s="579">
        <v>0</v>
      </c>
      <c r="E980" s="579">
        <v>0</v>
      </c>
      <c r="F980" s="580" t="e">
        <f t="shared" si="56"/>
        <v>#DIV/0!</v>
      </c>
      <c r="G980" s="568"/>
    </row>
    <row r="981" spans="1:7" s="275" customFormat="1" ht="18.75" customHeight="1">
      <c r="A981" s="583"/>
      <c r="B981" s="574"/>
      <c r="C981" s="582" t="s">
        <v>982</v>
      </c>
      <c r="D981" s="563">
        <v>6600</v>
      </c>
      <c r="E981" s="563">
        <v>3600</v>
      </c>
      <c r="F981" s="564">
        <f t="shared" si="56"/>
        <v>54.54545454545454</v>
      </c>
      <c r="G981" s="568"/>
    </row>
    <row r="982" spans="1:7" s="275" customFormat="1" ht="23.25" customHeight="1">
      <c r="A982" s="583"/>
      <c r="B982" s="574"/>
      <c r="C982" s="582" t="s">
        <v>989</v>
      </c>
      <c r="D982" s="563">
        <v>31548</v>
      </c>
      <c r="E982" s="563">
        <v>31547.93</v>
      </c>
      <c r="F982" s="564">
        <f t="shared" si="56"/>
        <v>99.99977811588691</v>
      </c>
      <c r="G982" s="597" t="s">
        <v>884</v>
      </c>
    </row>
    <row r="983" spans="1:7" s="275" customFormat="1" ht="23.25" customHeight="1" hidden="1">
      <c r="A983" s="583"/>
      <c r="B983" s="574"/>
      <c r="C983" s="573" t="s">
        <v>979</v>
      </c>
      <c r="D983" s="359">
        <f>SUM(D984,D985)</f>
        <v>0</v>
      </c>
      <c r="E983" s="359">
        <f>SUM(E984,E985)</f>
        <v>0</v>
      </c>
      <c r="F983" s="561" t="e">
        <f t="shared" si="56"/>
        <v>#DIV/0!</v>
      </c>
      <c r="G983" s="568"/>
    </row>
    <row r="984" spans="1:7" s="275" customFormat="1" ht="23.25" customHeight="1" hidden="1">
      <c r="A984" s="583"/>
      <c r="B984" s="574"/>
      <c r="C984" s="575" t="s">
        <v>251</v>
      </c>
      <c r="D984" s="563"/>
      <c r="E984" s="563"/>
      <c r="F984" s="564" t="e">
        <f t="shared" si="56"/>
        <v>#DIV/0!</v>
      </c>
      <c r="G984" s="568"/>
    </row>
    <row r="985" spans="1:7" s="275" customFormat="1" ht="23.25" customHeight="1" hidden="1">
      <c r="A985" s="583"/>
      <c r="B985" s="574"/>
      <c r="C985" s="582" t="s">
        <v>989</v>
      </c>
      <c r="D985" s="563">
        <v>0</v>
      </c>
      <c r="E985" s="563">
        <v>0</v>
      </c>
      <c r="F985" s="564" t="e">
        <f t="shared" si="56"/>
        <v>#DIV/0!</v>
      </c>
      <c r="G985" s="568"/>
    </row>
    <row r="986" spans="1:7" s="275" customFormat="1" ht="27.75" customHeight="1">
      <c r="A986" s="587" t="s">
        <v>35</v>
      </c>
      <c r="B986" s="554"/>
      <c r="C986" s="589" t="s">
        <v>38</v>
      </c>
      <c r="D986" s="556">
        <f>SUM(D987,D995,D1001,D1009,D1017,D1023,D1026,D1030)</f>
        <v>5740770</v>
      </c>
      <c r="E986" s="556">
        <f>SUM(E987,E995,E1001,E1009,E1017,E1023,E1026,E1030)</f>
        <v>2710213.6999999997</v>
      </c>
      <c r="F986" s="557">
        <f t="shared" si="56"/>
        <v>47.20993351066146</v>
      </c>
      <c r="G986" s="568"/>
    </row>
    <row r="987" spans="1:8" s="590" customFormat="1" ht="23.25" customHeight="1">
      <c r="A987" s="586"/>
      <c r="B987" s="570" t="s">
        <v>39</v>
      </c>
      <c r="C987" s="376" t="s">
        <v>94</v>
      </c>
      <c r="D987" s="364">
        <f>SUM(D988,D993)</f>
        <v>1939632</v>
      </c>
      <c r="E987" s="364">
        <f>SUM(E988,E993)</f>
        <v>835917.61</v>
      </c>
      <c r="F987" s="559">
        <f t="shared" si="56"/>
        <v>43.09671164427066</v>
      </c>
      <c r="G987" s="568"/>
      <c r="H987" s="275"/>
    </row>
    <row r="988" spans="1:7" s="363" customFormat="1" ht="23.25" customHeight="1">
      <c r="A988" s="560"/>
      <c r="B988" s="572"/>
      <c r="C988" s="573" t="s">
        <v>838</v>
      </c>
      <c r="D988" s="359">
        <f>SUM(D989,D992)</f>
        <v>1629632</v>
      </c>
      <c r="E988" s="359">
        <f>SUM(E989,E992)</f>
        <v>835917.61</v>
      </c>
      <c r="F988" s="561">
        <f aca="true" t="shared" si="57" ref="F988:F1029">E988/D988*100</f>
        <v>51.29486963928053</v>
      </c>
      <c r="G988" s="576"/>
    </row>
    <row r="989" spans="1:7" s="275" customFormat="1" ht="23.25" customHeight="1">
      <c r="A989" s="562"/>
      <c r="B989" s="574"/>
      <c r="C989" s="575" t="s">
        <v>976</v>
      </c>
      <c r="D989" s="563">
        <f>SUM(D990,D991)</f>
        <v>1629632</v>
      </c>
      <c r="E989" s="563">
        <f>SUM(E990,E991)</f>
        <v>835917.61</v>
      </c>
      <c r="F989" s="564">
        <f t="shared" si="57"/>
        <v>51.29486963928053</v>
      </c>
      <c r="G989" s="568"/>
    </row>
    <row r="990" spans="1:7" s="569" customFormat="1" ht="18.75" customHeight="1">
      <c r="A990" s="565"/>
      <c r="B990" s="577"/>
      <c r="C990" s="578" t="s">
        <v>1096</v>
      </c>
      <c r="D990" s="579">
        <v>1359985</v>
      </c>
      <c r="E990" s="579">
        <v>694499.96</v>
      </c>
      <c r="F990" s="580">
        <f t="shared" si="57"/>
        <v>51.06673676547903</v>
      </c>
      <c r="G990" s="568"/>
    </row>
    <row r="991" spans="1:7" s="569" customFormat="1" ht="18.75" customHeight="1">
      <c r="A991" s="565"/>
      <c r="B991" s="577"/>
      <c r="C991" s="578" t="s">
        <v>977</v>
      </c>
      <c r="D991" s="579">
        <v>269647</v>
      </c>
      <c r="E991" s="579">
        <v>141417.65</v>
      </c>
      <c r="F991" s="580">
        <f t="shared" si="57"/>
        <v>52.44547500992037</v>
      </c>
      <c r="G991" s="568"/>
    </row>
    <row r="992" spans="1:7" s="275" customFormat="1" ht="18.75" customHeight="1" hidden="1">
      <c r="A992" s="583"/>
      <c r="B992" s="574"/>
      <c r="C992" s="582" t="s">
        <v>982</v>
      </c>
      <c r="D992" s="563">
        <v>0</v>
      </c>
      <c r="E992" s="563">
        <v>0</v>
      </c>
      <c r="F992" s="564" t="e">
        <f>E992/D992*100</f>
        <v>#DIV/0!</v>
      </c>
      <c r="G992" s="568"/>
    </row>
    <row r="993" spans="1:7" s="363" customFormat="1" ht="18.75" customHeight="1">
      <c r="A993" s="560"/>
      <c r="B993" s="572"/>
      <c r="C993" s="573" t="s">
        <v>979</v>
      </c>
      <c r="D993" s="359">
        <f>SUM(D994)</f>
        <v>310000</v>
      </c>
      <c r="E993" s="359">
        <f>SUM(E994)</f>
        <v>0</v>
      </c>
      <c r="F993" s="561">
        <f>E993/D993*100</f>
        <v>0</v>
      </c>
      <c r="G993" s="576"/>
    </row>
    <row r="994" spans="1:7" s="275" customFormat="1" ht="28.5" customHeight="1">
      <c r="A994" s="562"/>
      <c r="B994" s="574"/>
      <c r="C994" s="575" t="s">
        <v>251</v>
      </c>
      <c r="D994" s="563">
        <v>310000</v>
      </c>
      <c r="E994" s="563">
        <v>0</v>
      </c>
      <c r="F994" s="564">
        <f>E994/D994*100</f>
        <v>0</v>
      </c>
      <c r="G994" s="584"/>
    </row>
    <row r="995" spans="1:8" s="590" customFormat="1" ht="20.25" customHeight="1">
      <c r="A995" s="586"/>
      <c r="B995" s="593" t="s">
        <v>273</v>
      </c>
      <c r="C995" s="376" t="s">
        <v>274</v>
      </c>
      <c r="D995" s="364">
        <f>D996</f>
        <v>394127</v>
      </c>
      <c r="E995" s="364">
        <f>E996</f>
        <v>205785.21</v>
      </c>
      <c r="F995" s="559">
        <f t="shared" si="57"/>
        <v>52.21291867849703</v>
      </c>
      <c r="G995" s="568"/>
      <c r="H995" s="275"/>
    </row>
    <row r="996" spans="1:7" s="363" customFormat="1" ht="18.75" customHeight="1">
      <c r="A996" s="560"/>
      <c r="B996" s="572"/>
      <c r="C996" s="573" t="s">
        <v>838</v>
      </c>
      <c r="D996" s="359">
        <f>SUM(D997,D1000)</f>
        <v>394127</v>
      </c>
      <c r="E996" s="359">
        <f>SUM(E997,E1000)</f>
        <v>205785.21</v>
      </c>
      <c r="F996" s="561">
        <f t="shared" si="57"/>
        <v>52.21291867849703</v>
      </c>
      <c r="G996" s="576"/>
    </row>
    <row r="997" spans="1:7" s="275" customFormat="1" ht="18" customHeight="1">
      <c r="A997" s="562"/>
      <c r="B997" s="574"/>
      <c r="C997" s="575" t="s">
        <v>976</v>
      </c>
      <c r="D997" s="563">
        <f>SUM(D998,D999)</f>
        <v>312847</v>
      </c>
      <c r="E997" s="563">
        <f>SUM(E998,E999)</f>
        <v>173755.37</v>
      </c>
      <c r="F997" s="564">
        <f t="shared" si="57"/>
        <v>55.540046732108664</v>
      </c>
      <c r="G997" s="568"/>
    </row>
    <row r="998" spans="1:7" s="569" customFormat="1" ht="18.75" customHeight="1">
      <c r="A998" s="565"/>
      <c r="B998" s="577"/>
      <c r="C998" s="578" t="s">
        <v>1096</v>
      </c>
      <c r="D998" s="579">
        <v>297447</v>
      </c>
      <c r="E998" s="579">
        <v>162955.37</v>
      </c>
      <c r="F998" s="580">
        <f t="shared" si="57"/>
        <v>54.78467424448725</v>
      </c>
      <c r="G998" s="568"/>
    </row>
    <row r="999" spans="1:7" s="569" customFormat="1" ht="18.75" customHeight="1">
      <c r="A999" s="565"/>
      <c r="B999" s="577"/>
      <c r="C999" s="578" t="s">
        <v>977</v>
      </c>
      <c r="D999" s="579">
        <v>15400</v>
      </c>
      <c r="E999" s="579">
        <v>10800</v>
      </c>
      <c r="F999" s="580">
        <f t="shared" si="57"/>
        <v>70.12987012987013</v>
      </c>
      <c r="G999" s="568"/>
    </row>
    <row r="1000" spans="1:7" s="275" customFormat="1" ht="18" customHeight="1">
      <c r="A1000" s="562"/>
      <c r="B1000" s="574"/>
      <c r="C1000" s="575" t="s">
        <v>978</v>
      </c>
      <c r="D1000" s="563">
        <v>81280</v>
      </c>
      <c r="E1000" s="563">
        <v>32029.84</v>
      </c>
      <c r="F1000" s="564">
        <f t="shared" si="57"/>
        <v>39.40679133858268</v>
      </c>
      <c r="G1000" s="568"/>
    </row>
    <row r="1001" spans="1:8" s="590" customFormat="1" ht="27" customHeight="1">
      <c r="A1001" s="586"/>
      <c r="B1001" s="593" t="s">
        <v>40</v>
      </c>
      <c r="C1001" s="376" t="s">
        <v>376</v>
      </c>
      <c r="D1001" s="364">
        <f>SUM(D1002,D1007)</f>
        <v>1123042</v>
      </c>
      <c r="E1001" s="364">
        <f>SUM(E1002,E1007)</f>
        <v>575943.36</v>
      </c>
      <c r="F1001" s="559">
        <f t="shared" si="57"/>
        <v>51.28422267377355</v>
      </c>
      <c r="G1001" s="568"/>
      <c r="H1001" s="275"/>
    </row>
    <row r="1002" spans="1:7" s="363" customFormat="1" ht="18.75" customHeight="1">
      <c r="A1002" s="560"/>
      <c r="B1002" s="572"/>
      <c r="C1002" s="573" t="s">
        <v>838</v>
      </c>
      <c r="D1002" s="359">
        <f>SUM(D1003,D1006)</f>
        <v>1123042</v>
      </c>
      <c r="E1002" s="359">
        <f>SUM(E1003,E1006)</f>
        <v>575943.36</v>
      </c>
      <c r="F1002" s="561">
        <f t="shared" si="57"/>
        <v>51.28422267377355</v>
      </c>
      <c r="G1002" s="576"/>
    </row>
    <row r="1003" spans="1:7" s="275" customFormat="1" ht="18" customHeight="1">
      <c r="A1003" s="562"/>
      <c r="B1003" s="574"/>
      <c r="C1003" s="575" t="s">
        <v>976</v>
      </c>
      <c r="D1003" s="563">
        <f>SUM(D1004,D1005)</f>
        <v>1122042</v>
      </c>
      <c r="E1003" s="563">
        <f>SUM(E1004,E1005)</f>
        <v>575943.36</v>
      </c>
      <c r="F1003" s="564">
        <f t="shared" si="57"/>
        <v>51.32992882619367</v>
      </c>
      <c r="G1003" s="568"/>
    </row>
    <row r="1004" spans="1:7" s="569" customFormat="1" ht="18.75" customHeight="1">
      <c r="A1004" s="565"/>
      <c r="B1004" s="577"/>
      <c r="C1004" s="578" t="s">
        <v>1096</v>
      </c>
      <c r="D1004" s="579">
        <v>1024342</v>
      </c>
      <c r="E1004" s="579">
        <v>512913.4</v>
      </c>
      <c r="F1004" s="580">
        <f t="shared" si="57"/>
        <v>50.07247579421716</v>
      </c>
      <c r="G1004" s="568"/>
    </row>
    <row r="1005" spans="1:7" s="569" customFormat="1" ht="18.75" customHeight="1">
      <c r="A1005" s="565"/>
      <c r="B1005" s="577"/>
      <c r="C1005" s="578" t="s">
        <v>977</v>
      </c>
      <c r="D1005" s="579">
        <v>97700</v>
      </c>
      <c r="E1005" s="579">
        <v>63029.96</v>
      </c>
      <c r="F1005" s="580">
        <f t="shared" si="57"/>
        <v>64.51377686796314</v>
      </c>
      <c r="G1005" s="568"/>
    </row>
    <row r="1006" spans="1:7" s="275" customFormat="1" ht="18.75" customHeight="1">
      <c r="A1006" s="583"/>
      <c r="B1006" s="574"/>
      <c r="C1006" s="582" t="s">
        <v>982</v>
      </c>
      <c r="D1006" s="563">
        <v>1000</v>
      </c>
      <c r="E1006" s="563">
        <v>0</v>
      </c>
      <c r="F1006" s="564">
        <f t="shared" si="57"/>
        <v>0</v>
      </c>
      <c r="G1006" s="568"/>
    </row>
    <row r="1007" spans="1:7" s="275" customFormat="1" ht="18.75" customHeight="1" hidden="1">
      <c r="A1007" s="583"/>
      <c r="B1007" s="574"/>
      <c r="C1007" s="573" t="s">
        <v>979</v>
      </c>
      <c r="D1007" s="359">
        <f>SUM(D1008)</f>
        <v>0</v>
      </c>
      <c r="E1007" s="359">
        <f>SUM(E1008)</f>
        <v>0</v>
      </c>
      <c r="F1007" s="561" t="e">
        <f t="shared" si="57"/>
        <v>#DIV/0!</v>
      </c>
      <c r="G1007" s="568"/>
    </row>
    <row r="1008" spans="1:7" s="275" customFormat="1" ht="30" customHeight="1" hidden="1">
      <c r="A1008" s="583"/>
      <c r="B1008" s="574"/>
      <c r="C1008" s="575" t="s">
        <v>251</v>
      </c>
      <c r="D1008" s="563">
        <v>0</v>
      </c>
      <c r="E1008" s="563">
        <v>0</v>
      </c>
      <c r="F1008" s="564" t="e">
        <f t="shared" si="57"/>
        <v>#DIV/0!</v>
      </c>
      <c r="G1008" s="568"/>
    </row>
    <row r="1009" spans="1:8" s="590" customFormat="1" ht="18.75" customHeight="1">
      <c r="A1009" s="586"/>
      <c r="B1009" s="570" t="s">
        <v>85</v>
      </c>
      <c r="C1009" s="571" t="s">
        <v>378</v>
      </c>
      <c r="D1009" s="364">
        <f>SUM(D1010,D1015)</f>
        <v>890946</v>
      </c>
      <c r="E1009" s="364">
        <f>SUM(E1010,E1015)</f>
        <v>456722.27</v>
      </c>
      <c r="F1009" s="559">
        <f t="shared" si="57"/>
        <v>51.26262085468704</v>
      </c>
      <c r="G1009" s="568"/>
      <c r="H1009" s="275"/>
    </row>
    <row r="1010" spans="1:7" s="363" customFormat="1" ht="18.75" customHeight="1">
      <c r="A1010" s="560"/>
      <c r="B1010" s="572"/>
      <c r="C1010" s="573" t="s">
        <v>838</v>
      </c>
      <c r="D1010" s="359">
        <f>SUM(D1011,D1014)</f>
        <v>890946</v>
      </c>
      <c r="E1010" s="359">
        <f>SUM(E1011,E1014)</f>
        <v>456722.27</v>
      </c>
      <c r="F1010" s="561">
        <f t="shared" si="57"/>
        <v>51.26262085468704</v>
      </c>
      <c r="G1010" s="576"/>
    </row>
    <row r="1011" spans="1:7" s="275" customFormat="1" ht="18" customHeight="1">
      <c r="A1011" s="562"/>
      <c r="B1011" s="574"/>
      <c r="C1011" s="575" t="s">
        <v>976</v>
      </c>
      <c r="D1011" s="563">
        <f>SUM(D1012,D1013)</f>
        <v>889946</v>
      </c>
      <c r="E1011" s="563">
        <f>SUM(E1012,E1013)</f>
        <v>456722.27</v>
      </c>
      <c r="F1011" s="564">
        <f t="shared" si="57"/>
        <v>51.32022280003506</v>
      </c>
      <c r="G1011" s="568"/>
    </row>
    <row r="1012" spans="1:7" s="569" customFormat="1" ht="18.75" customHeight="1">
      <c r="A1012" s="565"/>
      <c r="B1012" s="577"/>
      <c r="C1012" s="578" t="s">
        <v>1096</v>
      </c>
      <c r="D1012" s="579">
        <v>817289</v>
      </c>
      <c r="E1012" s="579">
        <v>417401.94</v>
      </c>
      <c r="F1012" s="580">
        <f t="shared" si="57"/>
        <v>51.07152304753888</v>
      </c>
      <c r="G1012" s="568"/>
    </row>
    <row r="1013" spans="1:7" s="569" customFormat="1" ht="18.75" customHeight="1">
      <c r="A1013" s="565"/>
      <c r="B1013" s="577"/>
      <c r="C1013" s="578" t="s">
        <v>977</v>
      </c>
      <c r="D1013" s="579">
        <v>72657</v>
      </c>
      <c r="E1013" s="579">
        <v>39320.33</v>
      </c>
      <c r="F1013" s="580">
        <f t="shared" si="57"/>
        <v>54.11774502112666</v>
      </c>
      <c r="G1013" s="568"/>
    </row>
    <row r="1014" spans="1:7" s="275" customFormat="1" ht="18.75" customHeight="1">
      <c r="A1014" s="583"/>
      <c r="B1014" s="574"/>
      <c r="C1014" s="582" t="s">
        <v>982</v>
      </c>
      <c r="D1014" s="563">
        <v>1000</v>
      </c>
      <c r="E1014" s="563">
        <v>0</v>
      </c>
      <c r="F1014" s="564">
        <f>E1014/D1014*100</f>
        <v>0</v>
      </c>
      <c r="G1014" s="568"/>
    </row>
    <row r="1015" spans="1:7" s="275" customFormat="1" ht="18.75" customHeight="1" hidden="1">
      <c r="A1015" s="583"/>
      <c r="B1015" s="574"/>
      <c r="C1015" s="573" t="s">
        <v>979</v>
      </c>
      <c r="D1015" s="359">
        <f>SUM(D1016)</f>
        <v>0</v>
      </c>
      <c r="E1015" s="359">
        <f>SUM(E1016)</f>
        <v>0</v>
      </c>
      <c r="F1015" s="561" t="e">
        <f>E1015/D1015*100</f>
        <v>#DIV/0!</v>
      </c>
      <c r="G1015" s="568"/>
    </row>
    <row r="1016" spans="1:7" s="275" customFormat="1" ht="26.25" customHeight="1" hidden="1">
      <c r="A1016" s="583"/>
      <c r="B1016" s="574"/>
      <c r="C1016" s="575" t="s">
        <v>251</v>
      </c>
      <c r="D1016" s="563">
        <v>0</v>
      </c>
      <c r="E1016" s="563">
        <v>0</v>
      </c>
      <c r="F1016" s="564" t="e">
        <f>E1016/D1016*100</f>
        <v>#DIV/0!</v>
      </c>
      <c r="G1016" s="568"/>
    </row>
    <row r="1017" spans="1:7" s="275" customFormat="1" ht="18.75" customHeight="1">
      <c r="A1017" s="586"/>
      <c r="B1017" s="570" t="s">
        <v>88</v>
      </c>
      <c r="C1017" s="571" t="s">
        <v>379</v>
      </c>
      <c r="D1017" s="364">
        <f>D1018</f>
        <v>346127</v>
      </c>
      <c r="E1017" s="364">
        <f>E1018</f>
        <v>172734.41</v>
      </c>
      <c r="F1017" s="559">
        <f t="shared" si="57"/>
        <v>49.90492218174254</v>
      </c>
      <c r="G1017" s="568"/>
    </row>
    <row r="1018" spans="1:7" s="363" customFormat="1" ht="18.75" customHeight="1">
      <c r="A1018" s="560"/>
      <c r="B1018" s="572"/>
      <c r="C1018" s="573" t="s">
        <v>838</v>
      </c>
      <c r="D1018" s="359">
        <f>SUM(D1019,D1022)</f>
        <v>346127</v>
      </c>
      <c r="E1018" s="359">
        <f>SUM(E1019,E1022)</f>
        <v>172734.41</v>
      </c>
      <c r="F1018" s="561">
        <f t="shared" si="57"/>
        <v>49.90492218174254</v>
      </c>
      <c r="G1018" s="576"/>
    </row>
    <row r="1019" spans="1:7" s="275" customFormat="1" ht="18" customHeight="1">
      <c r="A1019" s="562"/>
      <c r="B1019" s="574"/>
      <c r="C1019" s="575" t="s">
        <v>976</v>
      </c>
      <c r="D1019" s="563">
        <f>SUM(D1020,D1021)</f>
        <v>344927</v>
      </c>
      <c r="E1019" s="563">
        <f>SUM(E1020,E1021)</f>
        <v>172734.41</v>
      </c>
      <c r="F1019" s="564">
        <f t="shared" si="57"/>
        <v>50.07854125655573</v>
      </c>
      <c r="G1019" s="568"/>
    </row>
    <row r="1020" spans="1:7" s="569" customFormat="1" ht="18.75" customHeight="1">
      <c r="A1020" s="565"/>
      <c r="B1020" s="577"/>
      <c r="C1020" s="578" t="s">
        <v>1096</v>
      </c>
      <c r="D1020" s="579">
        <v>335811</v>
      </c>
      <c r="E1020" s="579">
        <v>163618.41</v>
      </c>
      <c r="F1020" s="580">
        <f t="shared" si="57"/>
        <v>48.72336224840759</v>
      </c>
      <c r="G1020" s="568"/>
    </row>
    <row r="1021" spans="1:7" s="569" customFormat="1" ht="18.75" customHeight="1">
      <c r="A1021" s="565"/>
      <c r="B1021" s="577"/>
      <c r="C1021" s="578" t="s">
        <v>977</v>
      </c>
      <c r="D1021" s="579">
        <v>9116</v>
      </c>
      <c r="E1021" s="579">
        <v>9116</v>
      </c>
      <c r="F1021" s="580">
        <f t="shared" si="57"/>
        <v>100</v>
      </c>
      <c r="G1021" s="568"/>
    </row>
    <row r="1022" spans="1:7" s="275" customFormat="1" ht="18.75" customHeight="1">
      <c r="A1022" s="583"/>
      <c r="B1022" s="574"/>
      <c r="C1022" s="582" t="s">
        <v>982</v>
      </c>
      <c r="D1022" s="563">
        <v>1200</v>
      </c>
      <c r="E1022" s="563">
        <v>0</v>
      </c>
      <c r="F1022" s="564">
        <f t="shared" si="57"/>
        <v>0</v>
      </c>
      <c r="G1022" s="568"/>
    </row>
    <row r="1023" spans="1:7" s="2" customFormat="1" ht="18.75" customHeight="1">
      <c r="A1023" s="586"/>
      <c r="B1023" s="570" t="s">
        <v>380</v>
      </c>
      <c r="C1023" s="376" t="s">
        <v>1076</v>
      </c>
      <c r="D1023" s="364">
        <f>SUM(D1024)</f>
        <v>1021379</v>
      </c>
      <c r="E1023" s="364">
        <f>SUM(E1024)</f>
        <v>454896</v>
      </c>
      <c r="F1023" s="564">
        <f t="shared" si="57"/>
        <v>44.5374341943588</v>
      </c>
      <c r="G1023" s="1"/>
    </row>
    <row r="1024" spans="1:7" s="363" customFormat="1" ht="18.75" customHeight="1">
      <c r="A1024" s="560"/>
      <c r="B1024" s="572"/>
      <c r="C1024" s="573" t="s">
        <v>838</v>
      </c>
      <c r="D1024" s="359">
        <f>SUM(D1025)</f>
        <v>1021379</v>
      </c>
      <c r="E1024" s="359">
        <f>SUM(E1025)</f>
        <v>454896</v>
      </c>
      <c r="F1024" s="561">
        <f t="shared" si="57"/>
        <v>44.5374341943588</v>
      </c>
      <c r="G1024" s="576"/>
    </row>
    <row r="1025" spans="1:7" s="275" customFormat="1" ht="18" customHeight="1">
      <c r="A1025" s="562"/>
      <c r="B1025" s="574"/>
      <c r="C1025" s="575" t="s">
        <v>978</v>
      </c>
      <c r="D1025" s="563">
        <v>1021379</v>
      </c>
      <c r="E1025" s="563">
        <v>454896</v>
      </c>
      <c r="F1025" s="564">
        <f t="shared" si="57"/>
        <v>44.5374341943588</v>
      </c>
      <c r="G1025" s="568"/>
    </row>
    <row r="1026" spans="1:8" s="590" customFormat="1" ht="18.75" customHeight="1">
      <c r="A1026" s="586"/>
      <c r="B1026" s="570" t="s">
        <v>381</v>
      </c>
      <c r="C1026" s="571" t="s">
        <v>1148</v>
      </c>
      <c r="D1026" s="364">
        <f>D1029</f>
        <v>19628</v>
      </c>
      <c r="E1026" s="364">
        <f>E1029</f>
        <v>5389.84</v>
      </c>
      <c r="F1026" s="559">
        <f t="shared" si="57"/>
        <v>27.459955166089262</v>
      </c>
      <c r="G1026" s="568"/>
      <c r="H1026" s="275"/>
    </row>
    <row r="1027" spans="1:7" s="363" customFormat="1" ht="18.75" customHeight="1">
      <c r="A1027" s="560"/>
      <c r="B1027" s="572"/>
      <c r="C1027" s="573" t="s">
        <v>838</v>
      </c>
      <c r="D1027" s="359">
        <f>SUM(D1028)</f>
        <v>19628</v>
      </c>
      <c r="E1027" s="359">
        <f>SUM(E1028)</f>
        <v>5389.84</v>
      </c>
      <c r="F1027" s="561">
        <f t="shared" si="57"/>
        <v>27.459955166089262</v>
      </c>
      <c r="G1027" s="576"/>
    </row>
    <row r="1028" spans="1:7" s="275" customFormat="1" ht="18" customHeight="1">
      <c r="A1028" s="562"/>
      <c r="B1028" s="574"/>
      <c r="C1028" s="575" t="s">
        <v>976</v>
      </c>
      <c r="D1028" s="563">
        <f>SUM(D1029)</f>
        <v>19628</v>
      </c>
      <c r="E1028" s="563">
        <f>SUM(E1029)</f>
        <v>5389.84</v>
      </c>
      <c r="F1028" s="564">
        <f t="shared" si="57"/>
        <v>27.459955166089262</v>
      </c>
      <c r="G1028" s="568"/>
    </row>
    <row r="1029" spans="1:7" s="569" customFormat="1" ht="18.75" customHeight="1">
      <c r="A1029" s="565"/>
      <c r="B1029" s="577"/>
      <c r="C1029" s="578" t="s">
        <v>977</v>
      </c>
      <c r="D1029" s="579">
        <v>19628</v>
      </c>
      <c r="E1029" s="579">
        <v>5389.84</v>
      </c>
      <c r="F1029" s="580">
        <f t="shared" si="57"/>
        <v>27.459955166089262</v>
      </c>
      <c r="G1029" s="568"/>
    </row>
    <row r="1030" spans="1:8" s="590" customFormat="1" ht="18.75" customHeight="1">
      <c r="A1030" s="586"/>
      <c r="B1030" s="570" t="s">
        <v>382</v>
      </c>
      <c r="C1030" s="571" t="s">
        <v>176</v>
      </c>
      <c r="D1030" s="364">
        <f>SUM(D1031)</f>
        <v>5889</v>
      </c>
      <c r="E1030" s="364">
        <f>SUM(E1031)</f>
        <v>2825</v>
      </c>
      <c r="F1030" s="559">
        <f aca="true" t="shared" si="58" ref="F1030:F1064">E1030/D1030*100</f>
        <v>47.970793003905584</v>
      </c>
      <c r="G1030" s="568"/>
      <c r="H1030" s="275"/>
    </row>
    <row r="1031" spans="1:7" s="363" customFormat="1" ht="18.75" customHeight="1">
      <c r="A1031" s="560"/>
      <c r="B1031" s="572"/>
      <c r="C1031" s="573" t="s">
        <v>838</v>
      </c>
      <c r="D1031" s="359">
        <f>SUM(D1032,D1035)</f>
        <v>5889</v>
      </c>
      <c r="E1031" s="359">
        <f>SUM(E1032,E1035)</f>
        <v>2825</v>
      </c>
      <c r="F1031" s="561">
        <f t="shared" si="58"/>
        <v>47.970793003905584</v>
      </c>
      <c r="G1031" s="576"/>
    </row>
    <row r="1032" spans="1:7" s="275" customFormat="1" ht="18" customHeight="1" hidden="1">
      <c r="A1032" s="562"/>
      <c r="B1032" s="574"/>
      <c r="C1032" s="575" t="s">
        <v>976</v>
      </c>
      <c r="D1032" s="563">
        <f>SUM(D1033,D1034)</f>
        <v>0</v>
      </c>
      <c r="E1032" s="563">
        <f>SUM(E1033,E1034)</f>
        <v>0</v>
      </c>
      <c r="F1032" s="564" t="e">
        <f t="shared" si="58"/>
        <v>#DIV/0!</v>
      </c>
      <c r="G1032" s="568"/>
    </row>
    <row r="1033" spans="1:7" s="569" customFormat="1" ht="18.75" customHeight="1" hidden="1">
      <c r="A1033" s="565"/>
      <c r="B1033" s="577"/>
      <c r="C1033" s="578" t="s">
        <v>1096</v>
      </c>
      <c r="D1033" s="579">
        <v>0</v>
      </c>
      <c r="E1033" s="579">
        <v>0</v>
      </c>
      <c r="F1033" s="580" t="e">
        <f t="shared" si="58"/>
        <v>#DIV/0!</v>
      </c>
      <c r="G1033" s="568"/>
    </row>
    <row r="1034" spans="1:7" s="569" customFormat="1" ht="18.75" customHeight="1" hidden="1">
      <c r="A1034" s="565"/>
      <c r="B1034" s="577"/>
      <c r="C1034" s="578" t="s">
        <v>977</v>
      </c>
      <c r="D1034" s="579">
        <v>0</v>
      </c>
      <c r="E1034" s="579">
        <v>0</v>
      </c>
      <c r="F1034" s="580" t="e">
        <f t="shared" si="58"/>
        <v>#DIV/0!</v>
      </c>
      <c r="G1034" s="568"/>
    </row>
    <row r="1035" spans="1:7" s="275" customFormat="1" ht="18.75" customHeight="1">
      <c r="A1035" s="583"/>
      <c r="B1035" s="574"/>
      <c r="C1035" s="582" t="s">
        <v>982</v>
      </c>
      <c r="D1035" s="563">
        <v>5889</v>
      </c>
      <c r="E1035" s="563">
        <v>2825</v>
      </c>
      <c r="F1035" s="564">
        <f t="shared" si="58"/>
        <v>47.970793003905584</v>
      </c>
      <c r="G1035" s="568"/>
    </row>
    <row r="1036" spans="1:7" s="3" customFormat="1" ht="18.75" customHeight="1">
      <c r="A1036" s="587" t="s">
        <v>1430</v>
      </c>
      <c r="B1036" s="554"/>
      <c r="C1036" s="1391" t="s">
        <v>1444</v>
      </c>
      <c r="D1036" s="556">
        <f>SUM(D1037,D1043)</f>
        <v>3148124</v>
      </c>
      <c r="E1036" s="556">
        <f>SUM(E1037,E1043)</f>
        <v>1464373.4900000002</v>
      </c>
      <c r="F1036" s="557">
        <f t="shared" si="58"/>
        <v>46.51575001492954</v>
      </c>
      <c r="G1036" s="1"/>
    </row>
    <row r="1037" spans="1:7" s="275" customFormat="1" ht="18.75" customHeight="1">
      <c r="A1037" s="586"/>
      <c r="B1037" s="570" t="s">
        <v>1440</v>
      </c>
      <c r="C1037" s="571" t="s">
        <v>527</v>
      </c>
      <c r="D1037" s="364">
        <f>D1038</f>
        <v>1863016</v>
      </c>
      <c r="E1037" s="364">
        <f>E1038</f>
        <v>834321.2000000001</v>
      </c>
      <c r="F1037" s="559">
        <f t="shared" si="58"/>
        <v>44.78336203231749</v>
      </c>
      <c r="G1037" s="568"/>
    </row>
    <row r="1038" spans="1:7" s="363" customFormat="1" ht="18.75" customHeight="1">
      <c r="A1038" s="560"/>
      <c r="B1038" s="572"/>
      <c r="C1038" s="573" t="s">
        <v>838</v>
      </c>
      <c r="D1038" s="359">
        <f>SUM(D1039,D1042)</f>
        <v>1863016</v>
      </c>
      <c r="E1038" s="359">
        <f>SUM(E1039,E1042)</f>
        <v>834321.2000000001</v>
      </c>
      <c r="F1038" s="561">
        <f t="shared" si="58"/>
        <v>44.78336203231749</v>
      </c>
      <c r="G1038" s="576"/>
    </row>
    <row r="1039" spans="1:7" s="275" customFormat="1" ht="18" customHeight="1">
      <c r="A1039" s="562"/>
      <c r="B1039" s="574"/>
      <c r="C1039" s="575" t="s">
        <v>976</v>
      </c>
      <c r="D1039" s="563">
        <f>SUM(D1040,D1041)</f>
        <v>582974</v>
      </c>
      <c r="E1039" s="563">
        <f>SUM(E1040,E1041)</f>
        <v>228745.67</v>
      </c>
      <c r="F1039" s="564">
        <f t="shared" si="58"/>
        <v>39.237713860309384</v>
      </c>
      <c r="G1039" s="568"/>
    </row>
    <row r="1040" spans="1:7" s="569" customFormat="1" ht="18.75" customHeight="1">
      <c r="A1040" s="565"/>
      <c r="B1040" s="577"/>
      <c r="C1040" s="578" t="s">
        <v>1096</v>
      </c>
      <c r="D1040" s="579">
        <v>363718</v>
      </c>
      <c r="E1040" s="579">
        <v>150045.79</v>
      </c>
      <c r="F1040" s="580">
        <f t="shared" si="58"/>
        <v>41.25333087721806</v>
      </c>
      <c r="G1040" s="568"/>
    </row>
    <row r="1041" spans="1:7" s="569" customFormat="1" ht="18.75" customHeight="1">
      <c r="A1041" s="565"/>
      <c r="B1041" s="577"/>
      <c r="C1041" s="578" t="s">
        <v>977</v>
      </c>
      <c r="D1041" s="579">
        <v>219256</v>
      </c>
      <c r="E1041" s="579">
        <v>78699.88</v>
      </c>
      <c r="F1041" s="580">
        <f t="shared" si="58"/>
        <v>35.89405991170139</v>
      </c>
      <c r="G1041" s="568"/>
    </row>
    <row r="1042" spans="1:7" s="275" customFormat="1" ht="18.75" customHeight="1">
      <c r="A1042" s="583"/>
      <c r="B1042" s="574"/>
      <c r="C1042" s="582" t="s">
        <v>982</v>
      </c>
      <c r="D1042" s="563">
        <v>1280042</v>
      </c>
      <c r="E1042" s="563">
        <v>605575.53</v>
      </c>
      <c r="F1042" s="564">
        <f t="shared" si="58"/>
        <v>47.30903595350778</v>
      </c>
      <c r="G1042" s="568"/>
    </row>
    <row r="1043" spans="1:7" s="275" customFormat="1" ht="18.75" customHeight="1">
      <c r="A1043" s="586"/>
      <c r="B1043" s="570" t="s">
        <v>1441</v>
      </c>
      <c r="C1043" s="571" t="s">
        <v>1442</v>
      </c>
      <c r="D1043" s="364">
        <f>D1044</f>
        <v>1285108</v>
      </c>
      <c r="E1043" s="364">
        <f>E1044</f>
        <v>630052.29</v>
      </c>
      <c r="F1043" s="559">
        <f aca="true" t="shared" si="59" ref="F1043:F1048">E1043/D1043*100</f>
        <v>49.027186041951346</v>
      </c>
      <c r="G1043" s="568"/>
    </row>
    <row r="1044" spans="1:7" s="363" customFormat="1" ht="18.75" customHeight="1">
      <c r="A1044" s="560"/>
      <c r="B1044" s="572"/>
      <c r="C1044" s="573" t="s">
        <v>838</v>
      </c>
      <c r="D1044" s="359">
        <f>SUM(D1045,D1048)</f>
        <v>1285108</v>
      </c>
      <c r="E1044" s="359">
        <f>SUM(E1045,E1048)</f>
        <v>630052.29</v>
      </c>
      <c r="F1044" s="561">
        <f t="shared" si="59"/>
        <v>49.027186041951346</v>
      </c>
      <c r="G1044" s="576"/>
    </row>
    <row r="1045" spans="1:7" s="275" customFormat="1" ht="18" customHeight="1">
      <c r="A1045" s="562"/>
      <c r="B1045" s="574"/>
      <c r="C1045" s="575" t="s">
        <v>976</v>
      </c>
      <c r="D1045" s="563">
        <f>SUM(D1046,D1047)</f>
        <v>1221582</v>
      </c>
      <c r="E1045" s="563">
        <f>SUM(E1046,E1047)</f>
        <v>597543.3300000001</v>
      </c>
      <c r="F1045" s="564">
        <f t="shared" si="59"/>
        <v>48.91553166304023</v>
      </c>
      <c r="G1045" s="568"/>
    </row>
    <row r="1046" spans="1:7" s="569" customFormat="1" ht="18.75" customHeight="1">
      <c r="A1046" s="565"/>
      <c r="B1046" s="577"/>
      <c r="C1046" s="578" t="s">
        <v>1096</v>
      </c>
      <c r="D1046" s="579">
        <v>692700</v>
      </c>
      <c r="E1046" s="579">
        <v>347013.45</v>
      </c>
      <c r="F1046" s="580">
        <f t="shared" si="59"/>
        <v>50.095777392810746</v>
      </c>
      <c r="G1046" s="568"/>
    </row>
    <row r="1047" spans="1:7" s="569" customFormat="1" ht="18.75" customHeight="1">
      <c r="A1047" s="565"/>
      <c r="B1047" s="577"/>
      <c r="C1047" s="578" t="s">
        <v>977</v>
      </c>
      <c r="D1047" s="579">
        <v>528882</v>
      </c>
      <c r="E1047" s="579">
        <v>250529.88</v>
      </c>
      <c r="F1047" s="580">
        <f t="shared" si="59"/>
        <v>47.36971195843307</v>
      </c>
      <c r="G1047" s="568"/>
    </row>
    <row r="1048" spans="1:7" s="275" customFormat="1" ht="18.75" customHeight="1">
      <c r="A1048" s="583"/>
      <c r="B1048" s="574"/>
      <c r="C1048" s="582" t="s">
        <v>982</v>
      </c>
      <c r="D1048" s="563">
        <v>63526</v>
      </c>
      <c r="E1048" s="563">
        <v>32508.96</v>
      </c>
      <c r="F1048" s="564">
        <f t="shared" si="59"/>
        <v>51.17425935837295</v>
      </c>
      <c r="G1048" s="568"/>
    </row>
    <row r="1049" spans="1:7" s="275" customFormat="1" ht="24.75" customHeight="1">
      <c r="A1049" s="587" t="s">
        <v>89</v>
      </c>
      <c r="B1049" s="554"/>
      <c r="C1049" s="589" t="s">
        <v>848</v>
      </c>
      <c r="D1049" s="556">
        <f>SUM(D1050,D1055,D1059,D1065)</f>
        <v>1393500</v>
      </c>
      <c r="E1049" s="556">
        <f>SUM(E1050,E1055,E1059,E1065)</f>
        <v>540247.11</v>
      </c>
      <c r="F1049" s="557">
        <f t="shared" si="58"/>
        <v>38.76907857911733</v>
      </c>
      <c r="G1049" s="568"/>
    </row>
    <row r="1050" spans="1:7" s="275" customFormat="1" ht="18.75" customHeight="1">
      <c r="A1050" s="586"/>
      <c r="B1050" s="570" t="s">
        <v>90</v>
      </c>
      <c r="C1050" s="376" t="s">
        <v>325</v>
      </c>
      <c r="D1050" s="364">
        <f>SUM(D1051)</f>
        <v>170000</v>
      </c>
      <c r="E1050" s="364">
        <f>SUM(E1051)</f>
        <v>35794</v>
      </c>
      <c r="F1050" s="564">
        <f t="shared" si="58"/>
        <v>21.05529411764706</v>
      </c>
      <c r="G1050" s="568"/>
    </row>
    <row r="1051" spans="1:7" s="363" customFormat="1" ht="18.75" customHeight="1">
      <c r="A1051" s="560"/>
      <c r="B1051" s="572"/>
      <c r="C1051" s="573" t="s">
        <v>838</v>
      </c>
      <c r="D1051" s="359">
        <f>SUM(D1052)</f>
        <v>170000</v>
      </c>
      <c r="E1051" s="359">
        <f>SUM(E1052)</f>
        <v>35794</v>
      </c>
      <c r="F1051" s="561">
        <f t="shared" si="58"/>
        <v>21.05529411764706</v>
      </c>
      <c r="G1051" s="576"/>
    </row>
    <row r="1052" spans="1:7" s="275" customFormat="1" ht="18" customHeight="1">
      <c r="A1052" s="562"/>
      <c r="B1052" s="574"/>
      <c r="C1052" s="575" t="s">
        <v>976</v>
      </c>
      <c r="D1052" s="563">
        <f>SUM(D1053,D1054)</f>
        <v>170000</v>
      </c>
      <c r="E1052" s="563">
        <f>SUM(E1053,E1054)</f>
        <v>35794</v>
      </c>
      <c r="F1052" s="564">
        <f t="shared" si="58"/>
        <v>21.05529411764706</v>
      </c>
      <c r="G1052" s="568"/>
    </row>
    <row r="1053" spans="1:7" s="569" customFormat="1" ht="18.75" customHeight="1">
      <c r="A1053" s="565"/>
      <c r="B1053" s="577"/>
      <c r="C1053" s="578" t="s">
        <v>977</v>
      </c>
      <c r="D1053" s="579">
        <v>170000</v>
      </c>
      <c r="E1053" s="579">
        <v>35794</v>
      </c>
      <c r="F1053" s="580">
        <f t="shared" si="58"/>
        <v>21.05529411764706</v>
      </c>
      <c r="G1053" s="568"/>
    </row>
    <row r="1054" spans="1:7" s="569" customFormat="1" ht="18.75" customHeight="1" hidden="1">
      <c r="A1054" s="565"/>
      <c r="B1054" s="577"/>
      <c r="C1054" s="578" t="s">
        <v>1096</v>
      </c>
      <c r="D1054" s="579">
        <v>0</v>
      </c>
      <c r="E1054" s="579">
        <v>0</v>
      </c>
      <c r="F1054" s="580" t="e">
        <f>E1054/D1054*100</f>
        <v>#DIV/0!</v>
      </c>
      <c r="G1054" s="568"/>
    </row>
    <row r="1055" spans="1:7" s="275" customFormat="1" ht="18.75" customHeight="1">
      <c r="A1055" s="586"/>
      <c r="B1055" s="570" t="s">
        <v>851</v>
      </c>
      <c r="C1055" s="376" t="s">
        <v>852</v>
      </c>
      <c r="D1055" s="364">
        <f>SUM(D1058)</f>
        <v>12000</v>
      </c>
      <c r="E1055" s="364">
        <f>SUM(E1058)</f>
        <v>0</v>
      </c>
      <c r="F1055" s="564">
        <f t="shared" si="58"/>
        <v>0</v>
      </c>
      <c r="G1055" s="568"/>
    </row>
    <row r="1056" spans="1:7" s="363" customFormat="1" ht="18.75" customHeight="1">
      <c r="A1056" s="560"/>
      <c r="B1056" s="572"/>
      <c r="C1056" s="573" t="s">
        <v>838</v>
      </c>
      <c r="D1056" s="359">
        <f>SUM(D1057)</f>
        <v>12000</v>
      </c>
      <c r="E1056" s="359">
        <f>SUM(E1057)</f>
        <v>0</v>
      </c>
      <c r="F1056" s="561">
        <f t="shared" si="58"/>
        <v>0</v>
      </c>
      <c r="G1056" s="576"/>
    </row>
    <row r="1057" spans="1:7" s="275" customFormat="1" ht="18" customHeight="1">
      <c r="A1057" s="562"/>
      <c r="B1057" s="574"/>
      <c r="C1057" s="575" t="s">
        <v>976</v>
      </c>
      <c r="D1057" s="563">
        <f>SUM(D1058)</f>
        <v>12000</v>
      </c>
      <c r="E1057" s="563">
        <f>SUM(E1058)</f>
        <v>0</v>
      </c>
      <c r="F1057" s="564">
        <f t="shared" si="58"/>
        <v>0</v>
      </c>
      <c r="G1057" s="568"/>
    </row>
    <row r="1058" spans="1:7" s="569" customFormat="1" ht="18.75" customHeight="1">
      <c r="A1058" s="565"/>
      <c r="B1058" s="577"/>
      <c r="C1058" s="578" t="s">
        <v>977</v>
      </c>
      <c r="D1058" s="579">
        <v>12000</v>
      </c>
      <c r="E1058" s="579">
        <v>0</v>
      </c>
      <c r="F1058" s="580">
        <f t="shared" si="58"/>
        <v>0</v>
      </c>
      <c r="G1058" s="568"/>
    </row>
    <row r="1059" spans="1:8" s="590" customFormat="1" ht="18.75" customHeight="1">
      <c r="A1059" s="586"/>
      <c r="B1059" s="570" t="s">
        <v>91</v>
      </c>
      <c r="C1059" s="571" t="s">
        <v>92</v>
      </c>
      <c r="D1059" s="364">
        <f>SUM(D1060,D1063)</f>
        <v>1091500</v>
      </c>
      <c r="E1059" s="364">
        <f>SUM(E1060,E1063)</f>
        <v>487863.11</v>
      </c>
      <c r="F1059" s="559">
        <f t="shared" si="58"/>
        <v>44.69657443884563</v>
      </c>
      <c r="G1059" s="568"/>
      <c r="H1059" s="275"/>
    </row>
    <row r="1060" spans="1:7" s="363" customFormat="1" ht="15" customHeight="1">
      <c r="A1060" s="560"/>
      <c r="B1060" s="572"/>
      <c r="C1060" s="573" t="s">
        <v>838</v>
      </c>
      <c r="D1060" s="359">
        <f>SUM(D1061)</f>
        <v>1091500</v>
      </c>
      <c r="E1060" s="359">
        <f>SUM(E1061)</f>
        <v>487863.11</v>
      </c>
      <c r="F1060" s="561">
        <f t="shared" si="58"/>
        <v>44.69657443884563</v>
      </c>
      <c r="G1060" s="576"/>
    </row>
    <row r="1061" spans="1:7" s="275" customFormat="1" ht="16.5" customHeight="1">
      <c r="A1061" s="562"/>
      <c r="B1061" s="574"/>
      <c r="C1061" s="575" t="s">
        <v>976</v>
      </c>
      <c r="D1061" s="563">
        <f>SUM(D1062)</f>
        <v>1091500</v>
      </c>
      <c r="E1061" s="563">
        <f>SUM(E1062)</f>
        <v>487863.11</v>
      </c>
      <c r="F1061" s="564">
        <f t="shared" si="58"/>
        <v>44.69657443884563</v>
      </c>
      <c r="G1061" s="568"/>
    </row>
    <row r="1062" spans="1:7" s="569" customFormat="1" ht="15.75" customHeight="1">
      <c r="A1062" s="565"/>
      <c r="B1062" s="577"/>
      <c r="C1062" s="578" t="s">
        <v>977</v>
      </c>
      <c r="D1062" s="579">
        <v>1091500</v>
      </c>
      <c r="E1062" s="579">
        <v>487863.11</v>
      </c>
      <c r="F1062" s="580">
        <f t="shared" si="58"/>
        <v>44.69657443884563</v>
      </c>
      <c r="G1062" s="568"/>
    </row>
    <row r="1063" spans="1:7" s="363" customFormat="1" ht="18.75" customHeight="1" hidden="1">
      <c r="A1063" s="560"/>
      <c r="B1063" s="572"/>
      <c r="C1063" s="573" t="s">
        <v>979</v>
      </c>
      <c r="D1063" s="359">
        <f>SUM(D1064)</f>
        <v>0</v>
      </c>
      <c r="E1063" s="359">
        <f>SUM(E1064)</f>
        <v>0</v>
      </c>
      <c r="F1063" s="561" t="e">
        <f t="shared" si="58"/>
        <v>#DIV/0!</v>
      </c>
      <c r="G1063" s="1481"/>
    </row>
    <row r="1064" spans="1:7" s="275" customFormat="1" ht="25.5" customHeight="1" hidden="1">
      <c r="A1064" s="562"/>
      <c r="B1064" s="574"/>
      <c r="C1064" s="575" t="s">
        <v>251</v>
      </c>
      <c r="D1064" s="563">
        <v>0</v>
      </c>
      <c r="E1064" s="563">
        <v>0</v>
      </c>
      <c r="F1064" s="564" t="e">
        <f t="shared" si="58"/>
        <v>#DIV/0!</v>
      </c>
      <c r="G1064" s="1481"/>
    </row>
    <row r="1065" spans="1:8" s="590" customFormat="1" ht="18.75" customHeight="1">
      <c r="A1065" s="586"/>
      <c r="B1065" s="570" t="s">
        <v>93</v>
      </c>
      <c r="C1065" s="571" t="s">
        <v>176</v>
      </c>
      <c r="D1065" s="364">
        <f>SUM(D1066)</f>
        <v>120000</v>
      </c>
      <c r="E1065" s="364">
        <f>SUM(E1066)</f>
        <v>16590</v>
      </c>
      <c r="F1065" s="559">
        <f>E1065/D1065*100</f>
        <v>13.825000000000001</v>
      </c>
      <c r="G1065" s="568"/>
      <c r="H1065" s="275"/>
    </row>
    <row r="1066" spans="1:7" s="363" customFormat="1" ht="15" customHeight="1">
      <c r="A1066" s="560"/>
      <c r="B1066" s="572"/>
      <c r="C1066" s="573" t="s">
        <v>838</v>
      </c>
      <c r="D1066" s="359">
        <f>SUM(D1067)</f>
        <v>120000</v>
      </c>
      <c r="E1066" s="359">
        <f>SUM(E1067)</f>
        <v>16590</v>
      </c>
      <c r="F1066" s="561">
        <f>E1066/D1066*100</f>
        <v>13.825000000000001</v>
      </c>
      <c r="G1066" s="576"/>
    </row>
    <row r="1067" spans="1:7" s="275" customFormat="1" ht="16.5" customHeight="1">
      <c r="A1067" s="562"/>
      <c r="B1067" s="574"/>
      <c r="C1067" s="575" t="s">
        <v>976</v>
      </c>
      <c r="D1067" s="563">
        <f>SUM(D1068,D1069)</f>
        <v>120000</v>
      </c>
      <c r="E1067" s="563">
        <f>SUM(E1068,E1069)</f>
        <v>16590</v>
      </c>
      <c r="F1067" s="564">
        <f>E1067/D1067*100</f>
        <v>13.825000000000001</v>
      </c>
      <c r="G1067" s="568"/>
    </row>
    <row r="1068" spans="1:7" s="569" customFormat="1" ht="15.75" customHeight="1">
      <c r="A1068" s="599"/>
      <c r="B1068" s="600"/>
      <c r="C1068" s="601" t="s">
        <v>977</v>
      </c>
      <c r="D1068" s="602">
        <v>120000</v>
      </c>
      <c r="E1068" s="602">
        <v>16590</v>
      </c>
      <c r="F1068" s="603">
        <f>E1068/D1068*100</f>
        <v>13.825000000000001</v>
      </c>
      <c r="G1068" s="568"/>
    </row>
    <row r="1069" spans="1:7" s="569" customFormat="1" ht="15.75" customHeight="1" hidden="1">
      <c r="A1069" s="599"/>
      <c r="B1069" s="600"/>
      <c r="C1069" s="601" t="s">
        <v>1096</v>
      </c>
      <c r="D1069" s="602">
        <v>0</v>
      </c>
      <c r="E1069" s="602">
        <v>0</v>
      </c>
      <c r="F1069" s="603" t="e">
        <f>E1069/D1069*100</f>
        <v>#DIV/0!</v>
      </c>
      <c r="G1069" s="568"/>
    </row>
    <row r="1070" spans="1:6" ht="18.75" customHeight="1">
      <c r="A1070" s="1361"/>
      <c r="B1070" s="1362"/>
      <c r="C1070" s="604" t="s">
        <v>648</v>
      </c>
      <c r="D1070" s="223">
        <f>SUM(D1071,D1081)</f>
        <v>238400701.74</v>
      </c>
      <c r="E1070" s="223">
        <f>SUM(E1071,E1081)</f>
        <v>72859234.96</v>
      </c>
      <c r="F1070" s="605">
        <f aca="true" t="shared" si="60" ref="F1070:F1081">E1070/D1070*100</f>
        <v>30.56166967136713</v>
      </c>
    </row>
    <row r="1071" spans="1:7" s="499" customFormat="1" ht="18.75" customHeight="1">
      <c r="A1071" s="494"/>
      <c r="B1071" s="495"/>
      <c r="C1071" s="496" t="s">
        <v>838</v>
      </c>
      <c r="D1071" s="360">
        <f>SUM(D1072,D1075,D1077,D1078,D1079,D1080)</f>
        <v>156076861.74</v>
      </c>
      <c r="E1071" s="360">
        <f>SUM(E1072,E1075,E1077,E1078,E1079,E1080)</f>
        <v>68486221.19</v>
      </c>
      <c r="F1071" s="497">
        <f t="shared" si="60"/>
        <v>43.879804108367765</v>
      </c>
      <c r="G1071" s="498"/>
    </row>
    <row r="1072" spans="1:7" s="506" customFormat="1" ht="18" customHeight="1">
      <c r="A1072" s="500"/>
      <c r="B1072" s="501"/>
      <c r="C1072" s="502" t="s">
        <v>976</v>
      </c>
      <c r="D1072" s="503">
        <f>SUM(D1073,D1074)</f>
        <v>110791488.72</v>
      </c>
      <c r="E1072" s="503">
        <f>SUM(E1073,E1074)</f>
        <v>45729426.91</v>
      </c>
      <c r="F1072" s="504">
        <f t="shared" si="60"/>
        <v>41.27521656972279</v>
      </c>
      <c r="G1072" s="505"/>
    </row>
    <row r="1073" spans="1:7" s="512" customFormat="1" ht="18.75" customHeight="1">
      <c r="A1073" s="507"/>
      <c r="B1073" s="508"/>
      <c r="C1073" s="509" t="s">
        <v>977</v>
      </c>
      <c r="D1073" s="510">
        <f>D13+D20+D25+D30+D36+D43+D50+D58+D66+D83+D89+D98+D102+D106+D110+D125+D130+D138+D149+D155+D161+D175+D180+D186+D192+D198+D205+D212+D221+D226+D232+D239+D245+D253+D259+D267+D274+D280+D290+D296+D306+D315+D323+D327+D332+D340+D345+D351+D360+D368+D373+D380+D392+D400+D406+D418+D410+D430+D436+D448+D455+D465+D473+D486+D496+D507+D518+D526+D533+D539+D544+D582+D590+D595+D602+D606+D613+D622+D627+D638+D656+D664+D678+D424+D551+D558+D569+D575+D442</f>
        <v>52909630.72</v>
      </c>
      <c r="E1073" s="510">
        <f>E13+E20+E25+E30+E36+E43+E50+E58+E66+E83+E89+E98+E102+E106+E110+E125+E130+E138+E149+E155+E161+E175+E180+E186+E192+E198+E205+E212+E221+E226+E232+E239+E245+E253+E259+E267+E274+E280+E290+E296+E306+E315+E323+E327+E332+E340+E345+E351+E360+E368+E373+E380+E392+E400+E406+E418+E410+E430+E436+E448+E455+E465+E473+E486+E496+E507+E518+E526+E533+E539+E544+E582+E590+E595+E602+E606+E613+E622+E627+E638+E656+E664+E678+E424+E551+E558+E569+E575+E442</f>
        <v>17679882.469999995</v>
      </c>
      <c r="F1073" s="511">
        <f t="shared" si="60"/>
        <v>33.415244501634646</v>
      </c>
      <c r="G1073" s="505"/>
    </row>
    <row r="1074" spans="1:7" s="512" customFormat="1" ht="18.75" customHeight="1">
      <c r="A1074" s="507"/>
      <c r="B1074" s="508"/>
      <c r="C1074" s="509" t="s">
        <v>1096</v>
      </c>
      <c r="D1074" s="510">
        <f>SUM(D12,D35,D49,D57,D65,D82,D97,D124,D129,D137,D148,D154,D160,D174,D179,D185,D191,D197,D211,D225,D231,D252,D279,D289,D295,D305,D314)+D331+D339+D344+D350+D359+D367+D374+D379+D391+D417+D423+D429+D435+D447+D464+D472+D485+D495+D506+D517+D525+D543+D550+D557+D564+D568+D574+D594+D626+D663+D677+D583</f>
        <v>57881858</v>
      </c>
      <c r="E1074" s="510">
        <f>SUM(E12,E35,E49,E57,E65,E82,E97,E124,E129,E137,E148,E154,E160,E174,E179,E185,E191,E197,E211,E225,E231,E252,E279,E289,E295,E305,E314)+E331+E339+E344+E350+E359+E367+E374+E379+E391+E417+E423+E429+E435+E447+E464+E472+E485+E495+E506+E517+E525+E543+E550+E557+E564+E568+E574+E594+E626+E663+E677+E583</f>
        <v>28049544.44</v>
      </c>
      <c r="F1074" s="511">
        <f t="shared" si="60"/>
        <v>48.45999318128316</v>
      </c>
      <c r="G1074" s="505"/>
    </row>
    <row r="1075" spans="1:7" s="506" customFormat="1" ht="18.75" customHeight="1" hidden="1">
      <c r="A1075" s="534"/>
      <c r="B1075" s="606"/>
      <c r="C1075" s="502" t="s">
        <v>988</v>
      </c>
      <c r="D1075" s="503">
        <f>SUM(D1076)</f>
        <v>0</v>
      </c>
      <c r="E1075" s="503">
        <f>SUM(E1076)</f>
        <v>0</v>
      </c>
      <c r="F1075" s="1392" t="e">
        <f>SUM(F1076)</f>
        <v>#DIV/0!</v>
      </c>
      <c r="G1075" s="530"/>
    </row>
    <row r="1076" spans="1:7" s="512" customFormat="1" ht="18.75" customHeight="1" hidden="1">
      <c r="A1076" s="507"/>
      <c r="B1076" s="508"/>
      <c r="C1076" s="509" t="s">
        <v>97</v>
      </c>
      <c r="D1076" s="1393">
        <f>SUM(D163)</f>
        <v>0</v>
      </c>
      <c r="E1076" s="1393">
        <f>SUM(E163)</f>
        <v>0</v>
      </c>
      <c r="F1076" s="1394" t="e">
        <f>SUM(F163)</f>
        <v>#DIV/0!</v>
      </c>
      <c r="G1076" s="505"/>
    </row>
    <row r="1077" spans="1:9" s="506" customFormat="1" ht="18.75" customHeight="1">
      <c r="A1077" s="534"/>
      <c r="B1077" s="606"/>
      <c r="C1077" s="502" t="s">
        <v>1278</v>
      </c>
      <c r="D1077" s="503">
        <f>SUM(D16,D75,D139,D164,D227,D268,D282,D291,D297,D307,D310,D317,D361,D375,D381)+D387+D393+D411+D425+D437+D443+D449+D459+D477+D487+D498+D508+D535+D552+D559+D570+D576+D607+D618+D629+D639+D645+D650+D665+D679+D353+D369+D419</f>
        <v>17451352</v>
      </c>
      <c r="E1077" s="503">
        <f>SUM(E16,E75,E139,E164,E227,E268,E282,E291,E297,E307,E310,E317,E361,E375,E381)+E387+E393+E411+E425+E437+E443+E449+E459+E477+E487+E498+E508+E535+E552+E559+E570+E576+E607+E618+E629+E639+E645+E650+E665+E679+E353+E369+E419</f>
        <v>8738161.030000001</v>
      </c>
      <c r="F1077" s="504">
        <f t="shared" si="60"/>
        <v>50.071541906896385</v>
      </c>
      <c r="G1077" s="530"/>
      <c r="I1077" s="506" t="s">
        <v>1457</v>
      </c>
    </row>
    <row r="1078" spans="1:7" s="506" customFormat="1" ht="18.75" customHeight="1">
      <c r="A1078" s="534"/>
      <c r="B1078" s="606"/>
      <c r="C1078" s="548" t="s">
        <v>982</v>
      </c>
      <c r="D1078" s="503">
        <f>SUM(D131,D140,D150,D156,D166,D181,D187,D193,D199,D213,D233,D281,D298,D316,D333,D346,D352,D431,D438,D450,D456,D460,D466,D474,D478,D481,D488,D497,D519,D527)+D534+D545+D553+D560+D577+D628+D666+D680</f>
        <v>23897660.02</v>
      </c>
      <c r="E1078" s="503">
        <f>SUM(E131,E140,E150,E156,E166,E181,E187,E193,E199,E213,E233,E281,E298,E316,E333,E346,E352,E431,E438,E450,E456,E460,E466,E474,E478,E481,E488,E497,E519,E527)+E534+E545+E553+E560+E577+E628+E666+E680</f>
        <v>13023024.040000001</v>
      </c>
      <c r="F1078" s="504">
        <f t="shared" si="60"/>
        <v>54.494975780478114</v>
      </c>
      <c r="G1078" s="505"/>
    </row>
    <row r="1079" spans="1:9" s="506" customFormat="1" ht="18.75" customHeight="1">
      <c r="A1079" s="535"/>
      <c r="B1079" s="607"/>
      <c r="C1079" s="548" t="s">
        <v>989</v>
      </c>
      <c r="D1079" s="503">
        <f>SUM(D67,D141,D165,D214,D354,D451,D509)</f>
        <v>490850</v>
      </c>
      <c r="E1079" s="503">
        <f>SUM(E67,E141,E165,E214,E354,E451,E509)</f>
        <v>0</v>
      </c>
      <c r="F1079" s="504">
        <f t="shared" si="60"/>
        <v>0</v>
      </c>
      <c r="G1079" s="530"/>
      <c r="I1079" s="506" t="s">
        <v>1021</v>
      </c>
    </row>
    <row r="1080" spans="1:7" s="506" customFormat="1" ht="21.75" customHeight="1">
      <c r="A1080" s="535"/>
      <c r="B1080" s="607"/>
      <c r="C1080" s="548" t="s">
        <v>984</v>
      </c>
      <c r="D1080" s="503">
        <f>SUM(D254)</f>
        <v>3445511</v>
      </c>
      <c r="E1080" s="503">
        <f>SUM(E254)</f>
        <v>995609.21</v>
      </c>
      <c r="F1080" s="504">
        <f t="shared" si="60"/>
        <v>28.89583606031152</v>
      </c>
      <c r="G1080" s="530"/>
    </row>
    <row r="1081" spans="1:7" s="499" customFormat="1" ht="18.75" customHeight="1">
      <c r="A1081" s="494"/>
      <c r="B1081" s="495"/>
      <c r="C1081" s="496" t="s">
        <v>979</v>
      </c>
      <c r="D1081" s="360">
        <f>SUM(D1082,D1083,D1084)</f>
        <v>82323840</v>
      </c>
      <c r="E1081" s="360">
        <f>SUM(E1082,E1083,E1084)</f>
        <v>4373013.7700000005</v>
      </c>
      <c r="F1081" s="497">
        <f t="shared" si="60"/>
        <v>5.311965246033227</v>
      </c>
      <c r="G1081" s="498"/>
    </row>
    <row r="1082" spans="1:7" s="506" customFormat="1" ht="26.25" customHeight="1">
      <c r="A1082" s="500"/>
      <c r="B1082" s="501"/>
      <c r="C1082" s="502" t="s">
        <v>251</v>
      </c>
      <c r="D1082" s="503">
        <f>SUM(D38,D52,D60,D70,D77,D85,D91,D112,D119,D133,D144,D168,D216,D241,D247,D270,D284,D300,D335,D363,D383,D395,D413,D468,D501,D511,D529,D597,D609,D615)+D631+D641+D647+D652+D659+D668+D672+D682+D235+D318+D402+D490+D521+D585</f>
        <v>62185211</v>
      </c>
      <c r="E1082" s="503">
        <f>SUM(E38,E52,E60,E70,E77,E85,E91,E112,E119,E133,E144,E168,E216,E241,E247,E270,E284,E300,E335,E363,E383,E395,E413,E468,E501,E511,E529,E597,E609,E615)+E631+E641+E647+E652+E659+E668+E672+E682+E235+E318+E402+E490+E521+E585</f>
        <v>4311343.5600000005</v>
      </c>
      <c r="F1082" s="504">
        <f>E1082/D1082*100</f>
        <v>6.933068957505026</v>
      </c>
      <c r="G1082" s="530"/>
    </row>
    <row r="1083" spans="1:7" s="506" customFormat="1" ht="18" customHeight="1">
      <c r="A1083" s="534"/>
      <c r="B1083" s="606"/>
      <c r="C1083" s="608" t="s">
        <v>989</v>
      </c>
      <c r="D1083" s="609">
        <f>SUM(D53,D71,D78,D118,D143,D169,D217,D285,D301,D384,D512,D586,D598,D632,D642,D658,D673,D683)</f>
        <v>14070530</v>
      </c>
      <c r="E1083" s="609">
        <f>SUM(E53,E71,E78,E118,E143,E169,E217,E285,E301,E384,E512,E586,E598,E632,E642,E658,E673,E683)</f>
        <v>61602.83</v>
      </c>
      <c r="F1083" s="610">
        <f>E1083/D1083*100</f>
        <v>0.43781456704189536</v>
      </c>
      <c r="G1083" s="530"/>
    </row>
    <row r="1084" spans="1:7" s="493" customFormat="1" ht="42" customHeight="1">
      <c r="A1084" s="611"/>
      <c r="B1084" s="612"/>
      <c r="C1084" s="613" t="s">
        <v>180</v>
      </c>
      <c r="D1084" s="614">
        <f>SUM(D45,D92,D633)</f>
        <v>6068099</v>
      </c>
      <c r="E1084" s="614">
        <f>SUM(E45,E92,E633)</f>
        <v>67.38</v>
      </c>
      <c r="F1084" s="615">
        <f>E1084/D1084*100</f>
        <v>0.0011103971771060427</v>
      </c>
      <c r="G1084" s="492"/>
    </row>
    <row r="1085" spans="1:10" ht="18.75" customHeight="1">
      <c r="A1085" s="1361"/>
      <c r="B1085" s="1362"/>
      <c r="C1085" s="604" t="s">
        <v>1041</v>
      </c>
      <c r="D1085" s="223">
        <f>SUM(D1086,D1095)</f>
        <v>128703229</v>
      </c>
      <c r="E1085" s="223">
        <f>SUM(E1086,E1095)</f>
        <v>40645248.989999995</v>
      </c>
      <c r="F1085" s="616">
        <f>E1085/D1085*100</f>
        <v>31.58059770979017</v>
      </c>
      <c r="G1085" s="617"/>
      <c r="H1085" s="618"/>
      <c r="I1085" s="619"/>
      <c r="J1085" s="619"/>
    </row>
    <row r="1086" spans="1:7" s="499" customFormat="1" ht="18.75" customHeight="1">
      <c r="A1086" s="494"/>
      <c r="B1086" s="495"/>
      <c r="C1086" s="496" t="s">
        <v>838</v>
      </c>
      <c r="D1086" s="360">
        <f>SUM(D1087,D1090,D1091,D1092,D1093,D1094)</f>
        <v>93237266</v>
      </c>
      <c r="E1086" s="360">
        <f>SUM(E1087,E1090,E1091,E1092,E1093,E1094)</f>
        <v>38133446.559999995</v>
      </c>
      <c r="F1086" s="497">
        <f aca="true" t="shared" si="61" ref="F1086:F1095">E1086/D1086*100</f>
        <v>40.899361592177094</v>
      </c>
      <c r="G1086" s="498"/>
    </row>
    <row r="1087" spans="1:7" s="506" customFormat="1" ht="18" customHeight="1">
      <c r="A1087" s="500"/>
      <c r="B1087" s="501"/>
      <c r="C1087" s="502" t="s">
        <v>976</v>
      </c>
      <c r="D1087" s="503">
        <f>SUM(D1088,D1089)</f>
        <v>87207927</v>
      </c>
      <c r="E1087" s="503">
        <f>SUM(E1088,E1089)</f>
        <v>35470433.46</v>
      </c>
      <c r="F1087" s="504">
        <f t="shared" si="61"/>
        <v>40.673405136668364</v>
      </c>
      <c r="G1087" s="505"/>
    </row>
    <row r="1088" spans="1:7" s="512" customFormat="1" ht="18.75" customHeight="1">
      <c r="A1088" s="507"/>
      <c r="B1088" s="508"/>
      <c r="C1088" s="509" t="s">
        <v>977</v>
      </c>
      <c r="D1088" s="510">
        <f>SUM(D689,D697,D708,D724,D716,D731,D735,D744,D756,D761,D766,D772,D787,D795,D808,D819,D824,D829,D839,D849,D854,D861,D866,D871,D878,D887)+D895+D901+D906+D912+D918+D925+D933+D938+D943+D948+D963+D968+D975+D980+D991+D999+D1005+D1013+D1021+D1029+D1034+D1041+D1047+D1053+D1058+D1062+D1068+D957+D800+D900</f>
        <v>45955055</v>
      </c>
      <c r="E1088" s="510">
        <f>SUM(E689,E697,E708,E724,E716,E731,E735,E744,E756,E761,E766,E772,E787,E795,E808,E819,E824,E829,E839,E849,E854,E861,E866,E871,E878,E887)+E895+E901+E906+E912+E918+E925+E933+E938+E943+E948+E963+E968+E975+E980+E991+E999+E1005+E1013+E1021+E1029+E1034+E1041+E1047+E1053+E1058+E1062+E1068+E957+E800+E900</f>
        <v>14516006.77</v>
      </c>
      <c r="F1088" s="511">
        <f t="shared" si="61"/>
        <v>31.58739940578898</v>
      </c>
      <c r="G1088" s="505"/>
    </row>
    <row r="1089" spans="1:7" s="512" customFormat="1" ht="18.75" customHeight="1">
      <c r="A1089" s="507"/>
      <c r="B1089" s="508"/>
      <c r="C1089" s="509" t="s">
        <v>1096</v>
      </c>
      <c r="D1089" s="510">
        <f>SUM(D698,D709,D717,D725,D736,D745,D757,D762,D773,D786,D796,D818,D823,D828,D838,D848,D853,D865,D870,D877,D886,D905,D911,D924,D932,D937,D942)+D947+D962+D967+D979+D990+D998+D1004+D1012+D1020+D1033+D1040+D1046+D1054+D1069</f>
        <v>41252872</v>
      </c>
      <c r="E1089" s="510">
        <f>SUM(E698,E709,E717,E725,E736,E745,E757,E762,E773,E786,E796,E818,E823,E828,E838,E848,E853,E865,E870,E877,E886,E905,E911,E924,E932,E937,E942)+E947+E962+E967+E979+E990+E998+E1004+E1012+E1020+E1033+E1040+E1046+E1054+E1069</f>
        <v>20954426.69</v>
      </c>
      <c r="F1089" s="511">
        <f t="shared" si="61"/>
        <v>50.795073589058234</v>
      </c>
      <c r="G1089" s="505"/>
    </row>
    <row r="1090" spans="1:7" s="506" customFormat="1" ht="18.75" customHeight="1" hidden="1">
      <c r="A1090" s="534"/>
      <c r="B1090" s="606"/>
      <c r="C1090" s="502" t="s">
        <v>988</v>
      </c>
      <c r="D1090" s="503"/>
      <c r="E1090" s="503"/>
      <c r="F1090" s="504" t="e">
        <f t="shared" si="61"/>
        <v>#DIV/0!</v>
      </c>
      <c r="G1090" s="530"/>
    </row>
    <row r="1091" spans="1:7" s="506" customFormat="1" ht="18.75" customHeight="1">
      <c r="A1091" s="534"/>
      <c r="B1091" s="606"/>
      <c r="C1091" s="502" t="s">
        <v>978</v>
      </c>
      <c r="D1091" s="503">
        <f>SUM(D737,D777,D782,D789,D801,D809,D830,D840,D879,D888,D896,D913,D926,D953,D958,D1000,D1025)</f>
        <v>3045362</v>
      </c>
      <c r="E1091" s="503">
        <f>SUM(E737,E777,E782,E789,E801,E809,E830,E840,E879,E888,E896,E913,E926,E953,E958,E1000,E1025)</f>
        <v>1495900.73</v>
      </c>
      <c r="F1091" s="504">
        <f t="shared" si="61"/>
        <v>49.12062112812861</v>
      </c>
      <c r="G1091" s="530"/>
    </row>
    <row r="1092" spans="1:7" s="506" customFormat="1" ht="18.75" customHeight="1">
      <c r="A1092" s="534"/>
      <c r="B1092" s="606"/>
      <c r="C1092" s="548" t="s">
        <v>982</v>
      </c>
      <c r="D1092" s="503">
        <f>SUM(D700,D746,D788,D831,D841,D855,D872,D914,D927,D949,D969,D981,D1042,D1048,D992,D1006,D1014,D1022,D1035)</f>
        <v>2401728</v>
      </c>
      <c r="E1092" s="503">
        <f>SUM(E700,E746,E788,E831,E841,E855,E872,E914,E927,E949,E969,E981,E1042,E1048,E992,E1006,E1014,E1022,E1035)</f>
        <v>1110564.44</v>
      </c>
      <c r="F1092" s="504">
        <f t="shared" si="61"/>
        <v>46.24022537106616</v>
      </c>
      <c r="G1092" s="505"/>
    </row>
    <row r="1093" spans="1:7" s="506" customFormat="1" ht="18.75" customHeight="1">
      <c r="A1093" s="535"/>
      <c r="B1093" s="607"/>
      <c r="C1093" s="548" t="s">
        <v>989</v>
      </c>
      <c r="D1093" s="503">
        <f>SUM(D699,D842,D928,D982)</f>
        <v>357249</v>
      </c>
      <c r="E1093" s="503">
        <f>SUM(E699,E842,E928,E982)</f>
        <v>31547.93</v>
      </c>
      <c r="F1093" s="504">
        <f t="shared" si="61"/>
        <v>8.830795887462246</v>
      </c>
      <c r="G1093" s="530"/>
    </row>
    <row r="1094" spans="1:7" s="506" customFormat="1" ht="21.75" customHeight="1">
      <c r="A1094" s="535"/>
      <c r="B1094" s="607"/>
      <c r="C1094" s="548" t="s">
        <v>984</v>
      </c>
      <c r="D1094" s="503">
        <f>D810</f>
        <v>225000</v>
      </c>
      <c r="E1094" s="503">
        <f>E810</f>
        <v>25000</v>
      </c>
      <c r="F1094" s="504">
        <f t="shared" si="61"/>
        <v>11.11111111111111</v>
      </c>
      <c r="G1094" s="530"/>
    </row>
    <row r="1095" spans="1:7" s="499" customFormat="1" ht="17.25" customHeight="1">
      <c r="A1095" s="494"/>
      <c r="B1095" s="495"/>
      <c r="C1095" s="496" t="s">
        <v>979</v>
      </c>
      <c r="D1095" s="360">
        <f>SUM(D1096,D1097,D1098)</f>
        <v>35465963</v>
      </c>
      <c r="E1095" s="360">
        <f>SUM(E1096,E1097,E1098)</f>
        <v>2511802.43</v>
      </c>
      <c r="F1095" s="497">
        <f t="shared" si="61"/>
        <v>7.082290222882149</v>
      </c>
      <c r="G1095" s="498"/>
    </row>
    <row r="1096" spans="1:7" s="506" customFormat="1" ht="26.25" customHeight="1">
      <c r="A1096" s="500"/>
      <c r="B1096" s="501"/>
      <c r="C1096" s="502" t="s">
        <v>251</v>
      </c>
      <c r="D1096" s="503">
        <f>SUM(D693,D702,D711,D719,D727,D739,D748,D751,D768,D779,D791,D803,D833,D844,D857,D881,D890,D920,D971,D994,D1008,D1016,D1064)</f>
        <v>22404963</v>
      </c>
      <c r="E1096" s="503">
        <f>SUM(E693,E702,E711,E719,E727,E739,E748,E751,E768,E779,E791,E803,E833,E844,E857,E881,E890,E920,E971,E994,E1008,E1016,E1064)</f>
        <v>2423545.33</v>
      </c>
      <c r="F1096" s="504">
        <f>E1096/D1096*100</f>
        <v>10.81700215260342</v>
      </c>
      <c r="G1096" s="530"/>
    </row>
    <row r="1097" spans="1:7" s="506" customFormat="1" ht="18.75" customHeight="1">
      <c r="A1097" s="625"/>
      <c r="B1097" s="626"/>
      <c r="C1097" s="613" t="s">
        <v>989</v>
      </c>
      <c r="D1097" s="614">
        <f>SUM(D703,D740,D834,D891,D985)</f>
        <v>13061000</v>
      </c>
      <c r="E1097" s="614">
        <f>SUM(E703,E740,E834,E891,E985)</f>
        <v>88257.1</v>
      </c>
      <c r="F1097" s="615">
        <f>E1097/D1097*100</f>
        <v>0.6757300359849936</v>
      </c>
      <c r="G1097" s="530"/>
    </row>
    <row r="1098" spans="1:7" s="506" customFormat="1" ht="44.25" customHeight="1" hidden="1" thickBot="1">
      <c r="A1098" s="620"/>
      <c r="B1098" s="621"/>
      <c r="C1098" s="622" t="s">
        <v>180</v>
      </c>
      <c r="D1098" s="623">
        <f>D882</f>
        <v>0</v>
      </c>
      <c r="E1098" s="623">
        <f>E882</f>
        <v>0</v>
      </c>
      <c r="F1098" s="624" t="e">
        <f>E1098/D1098*100</f>
        <v>#DIV/0!</v>
      </c>
      <c r="G1098" s="530"/>
    </row>
    <row r="1099" spans="1:7" s="632" customFormat="1" ht="20.25" customHeight="1">
      <c r="A1099" s="627"/>
      <c r="B1099" s="628"/>
      <c r="C1099" s="629" t="s">
        <v>65</v>
      </c>
      <c r="D1099" s="630">
        <f>SUM(D1100,D1110)</f>
        <v>367103930.74</v>
      </c>
      <c r="E1099" s="630">
        <f>SUM(E1100,E1110)</f>
        <v>113504483.95000002</v>
      </c>
      <c r="F1099" s="631">
        <f aca="true" t="shared" si="62" ref="F1099:F1110">E1099/D1099*100</f>
        <v>30.91889637934418</v>
      </c>
      <c r="G1099" s="1363"/>
    </row>
    <row r="1100" spans="1:7" s="639" customFormat="1" ht="14.25" customHeight="1">
      <c r="A1100" s="633"/>
      <c r="B1100" s="634"/>
      <c r="C1100" s="635" t="s">
        <v>838</v>
      </c>
      <c r="D1100" s="636">
        <f>SUM(D1101,D1104,D1106,D1107,D1108,D1109)</f>
        <v>249314127.74</v>
      </c>
      <c r="E1100" s="636">
        <f>SUM(E1101,E1104,E1106,E1107,E1108,E1109)</f>
        <v>106619667.75000001</v>
      </c>
      <c r="F1100" s="637">
        <f t="shared" si="62"/>
        <v>42.76519293811922</v>
      </c>
      <c r="G1100" s="638"/>
    </row>
    <row r="1101" spans="1:7" s="646" customFormat="1" ht="18" customHeight="1">
      <c r="A1101" s="640"/>
      <c r="B1101" s="641"/>
      <c r="C1101" s="642" t="s">
        <v>976</v>
      </c>
      <c r="D1101" s="643">
        <f>SUM(D1102,D1103)</f>
        <v>197999415.72</v>
      </c>
      <c r="E1101" s="643">
        <f>SUM(E1102,E1103)</f>
        <v>81199860.37</v>
      </c>
      <c r="F1101" s="644">
        <f t="shared" si="62"/>
        <v>41.010151507127894</v>
      </c>
      <c r="G1101" s="645"/>
    </row>
    <row r="1102" spans="1:7" s="652" customFormat="1" ht="18.75" customHeight="1">
      <c r="A1102" s="647"/>
      <c r="B1102" s="648"/>
      <c r="C1102" s="649" t="s">
        <v>977</v>
      </c>
      <c r="D1102" s="650">
        <f>SUM(D1073,D1088)</f>
        <v>98864685.72</v>
      </c>
      <c r="E1102" s="650">
        <f>SUM(E1073,E1088)</f>
        <v>32195889.239999995</v>
      </c>
      <c r="F1102" s="651">
        <f t="shared" si="62"/>
        <v>32.565611275176366</v>
      </c>
      <c r="G1102" s="645"/>
    </row>
    <row r="1103" spans="1:7" s="652" customFormat="1" ht="18.75" customHeight="1">
      <c r="A1103" s="647"/>
      <c r="B1103" s="648"/>
      <c r="C1103" s="649" t="s">
        <v>1096</v>
      </c>
      <c r="D1103" s="650">
        <f>SUM(D1074,D1089)</f>
        <v>99134730</v>
      </c>
      <c r="E1103" s="650">
        <f>SUM(E1074,E1089)</f>
        <v>49003971.13</v>
      </c>
      <c r="F1103" s="651">
        <f t="shared" si="62"/>
        <v>49.43168870283906</v>
      </c>
      <c r="G1103" s="645"/>
    </row>
    <row r="1104" spans="1:7" s="646" customFormat="1" ht="18.75" customHeight="1" hidden="1">
      <c r="A1104" s="653"/>
      <c r="B1104" s="654"/>
      <c r="C1104" s="642" t="s">
        <v>988</v>
      </c>
      <c r="D1104" s="643">
        <f>SUM(D1075)</f>
        <v>0</v>
      </c>
      <c r="E1104" s="643">
        <f>SUM(E1075)</f>
        <v>0</v>
      </c>
      <c r="F1104" s="644" t="e">
        <f t="shared" si="62"/>
        <v>#DIV/0!</v>
      </c>
      <c r="G1104" s="655"/>
    </row>
    <row r="1105" spans="1:7" s="652" customFormat="1" ht="18.75" customHeight="1" hidden="1">
      <c r="A1105" s="647"/>
      <c r="B1105" s="648"/>
      <c r="C1105" s="649" t="s">
        <v>97</v>
      </c>
      <c r="D1105" s="650">
        <f>D1076</f>
        <v>0</v>
      </c>
      <c r="E1105" s="650">
        <f>E1076</f>
        <v>0</v>
      </c>
      <c r="F1105" s="651" t="e">
        <f t="shared" si="62"/>
        <v>#DIV/0!</v>
      </c>
      <c r="G1105" s="645"/>
    </row>
    <row r="1106" spans="1:7" s="646" customFormat="1" ht="18.75" customHeight="1">
      <c r="A1106" s="653"/>
      <c r="B1106" s="654"/>
      <c r="C1106" s="642" t="s">
        <v>978</v>
      </c>
      <c r="D1106" s="643">
        <f aca="true" t="shared" si="63" ref="D1106:E1108">SUM(D1077,D1091)</f>
        <v>20496714</v>
      </c>
      <c r="E1106" s="643">
        <f t="shared" si="63"/>
        <v>10234061.760000002</v>
      </c>
      <c r="F1106" s="644">
        <f t="shared" si="62"/>
        <v>49.93025594248913</v>
      </c>
      <c r="G1106" s="655"/>
    </row>
    <row r="1107" spans="1:7" s="646" customFormat="1" ht="18.75" customHeight="1">
      <c r="A1107" s="653"/>
      <c r="B1107" s="654"/>
      <c r="C1107" s="656" t="s">
        <v>982</v>
      </c>
      <c r="D1107" s="643">
        <f t="shared" si="63"/>
        <v>26299388.02</v>
      </c>
      <c r="E1107" s="643">
        <f t="shared" si="63"/>
        <v>14133588.48</v>
      </c>
      <c r="F1107" s="644">
        <f t="shared" si="62"/>
        <v>53.74113066529067</v>
      </c>
      <c r="G1107" s="645"/>
    </row>
    <row r="1108" spans="1:7" s="646" customFormat="1" ht="18" customHeight="1">
      <c r="A1108" s="657"/>
      <c r="B1108" s="658"/>
      <c r="C1108" s="656" t="s">
        <v>989</v>
      </c>
      <c r="D1108" s="643">
        <f t="shared" si="63"/>
        <v>848099</v>
      </c>
      <c r="E1108" s="643">
        <f t="shared" si="63"/>
        <v>31547.93</v>
      </c>
      <c r="F1108" s="644">
        <f t="shared" si="62"/>
        <v>3.7198404903201157</v>
      </c>
      <c r="G1108" s="655"/>
    </row>
    <row r="1109" spans="1:7" s="646" customFormat="1" ht="18" customHeight="1">
      <c r="A1109" s="657"/>
      <c r="B1109" s="658"/>
      <c r="C1109" s="656" t="s">
        <v>984</v>
      </c>
      <c r="D1109" s="643">
        <f>SUM(D1094,D1080)</f>
        <v>3670511</v>
      </c>
      <c r="E1109" s="643">
        <f>SUM(E1094,E1080)</f>
        <v>1020609.21</v>
      </c>
      <c r="F1109" s="644">
        <f t="shared" si="62"/>
        <v>27.80564368285506</v>
      </c>
      <c r="G1109" s="655"/>
    </row>
    <row r="1110" spans="1:7" s="639" customFormat="1" ht="18.75" customHeight="1">
      <c r="A1110" s="633"/>
      <c r="B1110" s="634"/>
      <c r="C1110" s="635" t="s">
        <v>979</v>
      </c>
      <c r="D1110" s="636">
        <f>SUM(D1111,D1112,D1113)</f>
        <v>117789803</v>
      </c>
      <c r="E1110" s="636">
        <f>SUM(E1111,E1112,E1113)</f>
        <v>6884816.2</v>
      </c>
      <c r="F1110" s="637">
        <f t="shared" si="62"/>
        <v>5.845001880171241</v>
      </c>
      <c r="G1110" s="638"/>
    </row>
    <row r="1111" spans="1:7" s="646" customFormat="1" ht="28.5" customHeight="1">
      <c r="A1111" s="640"/>
      <c r="B1111" s="641"/>
      <c r="C1111" s="642" t="s">
        <v>251</v>
      </c>
      <c r="D1111" s="643">
        <f>SUM(D1082,D1096)</f>
        <v>84590174</v>
      </c>
      <c r="E1111" s="643">
        <f>SUM(E1082,E1096)</f>
        <v>6734888.890000001</v>
      </c>
      <c r="F1111" s="644">
        <f>E1111/D1111*100</f>
        <v>7.96178630629132</v>
      </c>
      <c r="G1111" s="655"/>
    </row>
    <row r="1112" spans="1:7" s="646" customFormat="1" ht="15" customHeight="1">
      <c r="A1112" s="640"/>
      <c r="B1112" s="641"/>
      <c r="C1112" s="642" t="s">
        <v>989</v>
      </c>
      <c r="D1112" s="643">
        <f>SUM(D1083,D1097)</f>
        <v>27131530</v>
      </c>
      <c r="E1112" s="643">
        <f>SUM(E1083,E1097)</f>
        <v>149859.93</v>
      </c>
      <c r="F1112" s="644">
        <f>E1112/D1112*100</f>
        <v>0.552346034300314</v>
      </c>
      <c r="G1112" s="655"/>
    </row>
    <row r="1113" spans="1:7" s="665" customFormat="1" ht="42" customHeight="1" thickBot="1">
      <c r="A1113" s="659"/>
      <c r="B1113" s="660"/>
      <c r="C1113" s="661" t="s">
        <v>180</v>
      </c>
      <c r="D1113" s="662">
        <f>D1084+D1098</f>
        <v>6068099</v>
      </c>
      <c r="E1113" s="662">
        <f>E1084+E1098</f>
        <v>67.38</v>
      </c>
      <c r="F1113" s="663">
        <f>E1113/D1113*100</f>
        <v>0.0011103971771060427</v>
      </c>
      <c r="G1113" s="664"/>
    </row>
    <row r="1114" spans="1:10" ht="18.75" customHeight="1" thickBot="1">
      <c r="A1114" s="666"/>
      <c r="B1114" s="667"/>
      <c r="C1114" s="668" t="s">
        <v>95</v>
      </c>
      <c r="D1114" s="669">
        <f>SUM(D1070,D1085)</f>
        <v>367103930.74</v>
      </c>
      <c r="E1114" s="669">
        <f>SUM(E1070,E1085)</f>
        <v>113504483.94999999</v>
      </c>
      <c r="F1114" s="670">
        <f>E1114/D1114*100</f>
        <v>30.91889637934417</v>
      </c>
      <c r="G1114" s="671"/>
      <c r="H1114" s="672"/>
      <c r="I1114" s="619"/>
      <c r="J1114" s="619"/>
    </row>
    <row r="1115" spans="1:10" s="2" customFormat="1" ht="18.75" customHeight="1" hidden="1">
      <c r="A1115" s="673"/>
      <c r="B1115" s="673"/>
      <c r="C1115" s="674" t="s">
        <v>193</v>
      </c>
      <c r="D1115" s="675">
        <v>272803848.53</v>
      </c>
      <c r="E1115" s="675">
        <v>102022546.82</v>
      </c>
      <c r="F1115" s="676"/>
      <c r="G1115" s="617"/>
      <c r="H1115" s="618"/>
      <c r="I1115" s="618"/>
      <c r="J1115" s="618"/>
    </row>
    <row r="1116" spans="1:10" s="2" customFormat="1" ht="18.75" customHeight="1" hidden="1">
      <c r="A1116" s="673"/>
      <c r="B1116" s="673"/>
      <c r="C1116" s="674" t="s">
        <v>1046</v>
      </c>
      <c r="D1116" s="675">
        <f>D1114-D1115</f>
        <v>94300082.21000004</v>
      </c>
      <c r="E1116" s="675">
        <f>E1114-E1115</f>
        <v>11481937.129999995</v>
      </c>
      <c r="F1116" s="676"/>
      <c r="G1116" s="617"/>
      <c r="H1116" s="618"/>
      <c r="I1116" s="618"/>
      <c r="J1116" s="618"/>
    </row>
    <row r="1118" spans="3:5" ht="18.75" customHeight="1" hidden="1">
      <c r="C1118" s="1395" t="s">
        <v>1257</v>
      </c>
      <c r="D1118" s="1396">
        <v>253182492.62</v>
      </c>
      <c r="E1118" s="1396">
        <v>231753462.87</v>
      </c>
    </row>
  </sheetData>
  <sheetProtection password="CF53" sheet="1" formatCells="0" formatColumns="0" formatRows="0" insertColumns="0" insertRows="0" insertHyperlinks="0" deleteColumns="0" deleteRows="0" sort="0" autoFilter="0" pivotTables="0"/>
  <mergeCells count="9">
    <mergeCell ref="G1063:G1064"/>
    <mergeCell ref="A684:C684"/>
    <mergeCell ref="A3:E3"/>
    <mergeCell ref="G579:G582"/>
    <mergeCell ref="G956:G957"/>
    <mergeCell ref="E1:F1"/>
    <mergeCell ref="A7:C7"/>
    <mergeCell ref="G334:G335"/>
    <mergeCell ref="G420:G423"/>
  </mergeCells>
  <printOptions horizontalCentered="1"/>
  <pageMargins left="0.7874015748031497" right="0.7874015748031497" top="0.984251968503937" bottom="0.984251968503937" header="0.5118110236220472" footer="0.5118110236220472"/>
  <pageSetup firstPageNumber="39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igorecka</dc:creator>
  <cp:keywords/>
  <dc:description/>
  <cp:lastModifiedBy>alesiewicz</cp:lastModifiedBy>
  <cp:lastPrinted>2017-08-31T06:41:04Z</cp:lastPrinted>
  <dcterms:created xsi:type="dcterms:W3CDTF">2002-07-29T09:23:44Z</dcterms:created>
  <dcterms:modified xsi:type="dcterms:W3CDTF">2018-09-04T10:18:01Z</dcterms:modified>
  <cp:category/>
  <cp:version/>
  <cp:contentType/>
  <cp:contentStatus/>
</cp:coreProperties>
</file>